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935" yWindow="90" windowWidth="16380" windowHeight="8190" tabRatio="427" firstSheet="1" activeTab="4"/>
  </bookViews>
  <sheets>
    <sheet name="Исходные данные 25 г." sheetId="1" r:id="rId1"/>
    <sheet name="Расчет КРП" sheetId="2" r:id="rId2"/>
    <sheet name="Расчет дотации 2025" sheetId="4" r:id="rId3"/>
    <sheet name="Исходные данные 2026 г. " sheetId="5" r:id="rId4"/>
    <sheet name="Расчет дотации 2026" sheetId="7" r:id="rId5"/>
    <sheet name="Исходные данные 2027г. " sheetId="8" r:id="rId6"/>
    <sheet name="Расчет дотации 2027" sheetId="10" r:id="rId7"/>
  </sheets>
  <definedNames>
    <definedName name="___xlfn_COUNTIFS">#N/A</definedName>
    <definedName name="__xlfn_COUNTIFS">NA()</definedName>
    <definedName name="_xlnm._FilterDatabase" localSheetId="2" hidden="1">'Расчет дотации 2025'!#REF!</definedName>
    <definedName name="_xlnm._FilterDatabase" localSheetId="4" hidden="1">'Расчет дотации 2026'!#REF!</definedName>
    <definedName name="_xlnm._FilterDatabase" localSheetId="6" hidden="1">'Расчет дотации 2027'!#REF!</definedName>
    <definedName name="Excel_BuiltIn__FilterDatabase" localSheetId="2">'Расчет дотации 2025'!#REF!</definedName>
    <definedName name="Excel_BuiltIn__FilterDatabase" localSheetId="4">'Расчет дотации 2026'!#REF!</definedName>
    <definedName name="Excel_BuiltIn__FilterDatabase" localSheetId="6">'Расчет дотации 2027'!#REF!</definedName>
    <definedName name="Excel_BuiltIn_Print_Titles" localSheetId="3">'Исходные данные 2026 г. '!$A$6:$HZ$9</definedName>
    <definedName name="Excel_BuiltIn_Print_Titles" localSheetId="5">'Исходные данные 2027г. '!$A$6:$HZ$9</definedName>
    <definedName name="Excel_BuiltIn_Print_Titles" localSheetId="0">'Исходные данные 25 г.'!$A$6:$HZ$9</definedName>
    <definedName name="Z_287B6B75_F102_4A35_99B4_72102AA4A344__wvu_FilterData" localSheetId="3">'Исходные данные 2026 г. '!$B$9:$G$22</definedName>
    <definedName name="Z_287B6B75_F102_4A35_99B4_72102AA4A344__wvu_FilterData" localSheetId="5">'Исходные данные 2027г. '!$B$9:$G$22</definedName>
    <definedName name="Z_287B6B75_F102_4A35_99B4_72102AA4A344__wvu_FilterData" localSheetId="0">'Исходные данные 25 г.'!$B$9:$G$22</definedName>
    <definedName name="Z_287B6B75_F102_4A35_99B4_72102AA4A344__wvu_FilterData" localSheetId="2">'Расчет дотации 2025'!#REF!</definedName>
    <definedName name="Z_287B6B75_F102_4A35_99B4_72102AA4A344__wvu_FilterData" localSheetId="4">'Расчет дотации 2026'!#REF!</definedName>
    <definedName name="Z_287B6B75_F102_4A35_99B4_72102AA4A344__wvu_FilterData" localSheetId="6">'Расчет дотации 2027'!#REF!</definedName>
    <definedName name="Z_287B6B75_F102_4A35_99B4_72102AA4A344__wvu_PrintArea" localSheetId="3">'Исходные данные 2026 г. '!$B$1:$G$19</definedName>
    <definedName name="Z_287B6B75_F102_4A35_99B4_72102AA4A344__wvu_PrintArea" localSheetId="5">'Исходные данные 2027г. '!$B$1:$G$19</definedName>
    <definedName name="Z_287B6B75_F102_4A35_99B4_72102AA4A344__wvu_PrintArea" localSheetId="0">'Исходные данные 25 г.'!$B$1:$G$19</definedName>
    <definedName name="Z_287B6B75_F102_4A35_99B4_72102AA4A344__wvu_PrintArea" localSheetId="2">'Расчет дотации 2025'!#REF!</definedName>
    <definedName name="Z_287B6B75_F102_4A35_99B4_72102AA4A344__wvu_PrintArea" localSheetId="4">'Расчет дотации 2026'!#REF!</definedName>
    <definedName name="Z_287B6B75_F102_4A35_99B4_72102AA4A344__wvu_PrintArea" localSheetId="6">'Расчет дотации 2027'!#REF!</definedName>
    <definedName name="Z_287B6B75_F102_4A35_99B4_72102AA4A344__wvu_PrintTitles" localSheetId="3">'Исходные данные 2026 г. '!$A$6:$HZ$9</definedName>
    <definedName name="Z_287B6B75_F102_4A35_99B4_72102AA4A344__wvu_PrintTitles" localSheetId="5">'Исходные данные 2027г. '!$A$6:$HZ$9</definedName>
    <definedName name="Z_287B6B75_F102_4A35_99B4_72102AA4A344__wvu_PrintTitles" localSheetId="0">'Исходные данные 25 г.'!$A$6:$HZ$9</definedName>
    <definedName name="Z_287B6B75_F102_4A35_99B4_72102AA4A344__wvu_PrintTitles" localSheetId="2">'Расчет дотации 2025'!$A:$A</definedName>
    <definedName name="Z_287B6B75_F102_4A35_99B4_72102AA4A344__wvu_PrintTitles" localSheetId="4">'Расчет дотации 2026'!$A:$A</definedName>
    <definedName name="Z_287B6B75_F102_4A35_99B4_72102AA4A344__wvu_PrintTitles" localSheetId="6">'Расчет дотации 2027'!$A:$A</definedName>
    <definedName name="_xlnm.Print_Titles" localSheetId="3">'Исходные данные 2026 г. '!$6:$9</definedName>
    <definedName name="_xlnm.Print_Titles" localSheetId="5">'Исходные данные 2027г. '!$6:$9</definedName>
    <definedName name="_xlnm.Print_Titles" localSheetId="0">'Исходные данные 25 г.'!$6:$9</definedName>
    <definedName name="_xlnm.Print_Titles" localSheetId="2">'Расчет дотации 2025'!$A:$A</definedName>
    <definedName name="_xlnm.Print_Titles" localSheetId="4">'Расчет дотации 2026'!$A:$A</definedName>
    <definedName name="_xlnm.Print_Titles" localSheetId="6">'Расчет дотации 2027'!$A:$A</definedName>
    <definedName name="_xlnm.Print_Area" localSheetId="3">'Исходные данные 2026 г. '!$A$1:$I$25</definedName>
    <definedName name="_xlnm.Print_Area" localSheetId="5">'Исходные данные 2027г. '!$A$1:$I$25</definedName>
    <definedName name="_xlnm.Print_Area" localSheetId="0">'Исходные данные 25 г.'!$A$1:$I$25</definedName>
    <definedName name="_xlnm.Print_Area" localSheetId="2">'Расчет дотации 2025'!#REF!</definedName>
    <definedName name="_xlnm.Print_Area" localSheetId="4">'Расчет дотации 2026'!#REF!</definedName>
  </definedNames>
  <calcPr calcId="145621" iterate="1" iterateDelta="1E-4"/>
</workbook>
</file>

<file path=xl/calcChain.xml><?xml version="1.0" encoding="utf-8"?>
<calcChain xmlns="http://schemas.openxmlformats.org/spreadsheetml/2006/main">
  <c r="F12" i="2" l="1"/>
  <c r="F10" i="2"/>
  <c r="F11" i="2" l="1"/>
  <c r="G23" i="8"/>
  <c r="G22" i="8"/>
  <c r="G21" i="8"/>
  <c r="G20" i="8"/>
  <c r="G19" i="8"/>
  <c r="G18" i="8"/>
  <c r="G17" i="8"/>
  <c r="G16" i="8"/>
  <c r="G15" i="8"/>
  <c r="G14" i="8"/>
  <c r="G13" i="8"/>
  <c r="G12" i="8"/>
  <c r="G24" i="8" s="1"/>
  <c r="G11" i="8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24" i="5" l="1"/>
  <c r="F24" i="1"/>
  <c r="E24" i="1"/>
  <c r="F7" i="2" l="1"/>
  <c r="F8" i="2"/>
  <c r="F19" i="2" l="1"/>
  <c r="F18" i="2"/>
  <c r="F17" i="2"/>
  <c r="F16" i="2"/>
  <c r="F15" i="2"/>
  <c r="F14" i="2"/>
  <c r="F13" i="2"/>
  <c r="F9" i="2"/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G24" i="1" l="1"/>
  <c r="H24" i="8"/>
  <c r="H24" i="5"/>
  <c r="GN22" i="10" l="1"/>
  <c r="GN22" i="4" l="1"/>
  <c r="GN22" i="7"/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H10" i="10" l="1"/>
  <c r="H11" i="10"/>
  <c r="H12" i="10"/>
  <c r="H13" i="10"/>
  <c r="H14" i="10"/>
  <c r="H15" i="10"/>
  <c r="H16" i="10"/>
  <c r="H17" i="10"/>
  <c r="H18" i="10"/>
  <c r="H19" i="10"/>
  <c r="H20" i="10"/>
  <c r="H21" i="10"/>
  <c r="H9" i="10"/>
  <c r="H10" i="7"/>
  <c r="H11" i="7"/>
  <c r="H12" i="7"/>
  <c r="H13" i="7"/>
  <c r="H14" i="7"/>
  <c r="H15" i="7"/>
  <c r="H16" i="7"/>
  <c r="H17" i="7"/>
  <c r="H18" i="7"/>
  <c r="H19" i="7"/>
  <c r="H20" i="7"/>
  <c r="H21" i="7"/>
  <c r="H9" i="7"/>
  <c r="E22" i="10"/>
  <c r="D22" i="10"/>
  <c r="F22" i="10" s="1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F7" i="10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AC7" i="10" s="1"/>
  <c r="AD7" i="10" s="1"/>
  <c r="AE7" i="10" s="1"/>
  <c r="AF7" i="10" s="1"/>
  <c r="AG7" i="10" s="1"/>
  <c r="AH7" i="10" s="1"/>
  <c r="AI7" i="10" s="1"/>
  <c r="AJ7" i="10" s="1"/>
  <c r="AK7" i="10" s="1"/>
  <c r="AL7" i="10" s="1"/>
  <c r="AM7" i="10" s="1"/>
  <c r="AN7" i="10" s="1"/>
  <c r="AO7" i="10" s="1"/>
  <c r="AP7" i="10" s="1"/>
  <c r="AQ7" i="10" s="1"/>
  <c r="AR7" i="10" s="1"/>
  <c r="AS7" i="10" s="1"/>
  <c r="AT7" i="10" s="1"/>
  <c r="AU7" i="10" s="1"/>
  <c r="AV7" i="10" s="1"/>
  <c r="AW7" i="10" s="1"/>
  <c r="AX7" i="10" s="1"/>
  <c r="AY7" i="10" s="1"/>
  <c r="AZ7" i="10" s="1"/>
  <c r="BA7" i="10" s="1"/>
  <c r="BB7" i="10" s="1"/>
  <c r="BC7" i="10" s="1"/>
  <c r="BD7" i="10" s="1"/>
  <c r="BE7" i="10" s="1"/>
  <c r="BF7" i="10" s="1"/>
  <c r="BG7" i="10" s="1"/>
  <c r="BH7" i="10" s="1"/>
  <c r="BI7" i="10" s="1"/>
  <c r="BJ7" i="10" s="1"/>
  <c r="BK7" i="10" s="1"/>
  <c r="BL7" i="10" s="1"/>
  <c r="BM7" i="10" s="1"/>
  <c r="BN7" i="10" s="1"/>
  <c r="BO7" i="10" s="1"/>
  <c r="BP7" i="10" s="1"/>
  <c r="BQ7" i="10" s="1"/>
  <c r="BR7" i="10" s="1"/>
  <c r="BS7" i="10" s="1"/>
  <c r="BT7" i="10" s="1"/>
  <c r="BU7" i="10" s="1"/>
  <c r="BV7" i="10" s="1"/>
  <c r="BW7" i="10" s="1"/>
  <c r="BX7" i="10" s="1"/>
  <c r="BY7" i="10" s="1"/>
  <c r="BZ7" i="10" s="1"/>
  <c r="CA7" i="10" s="1"/>
  <c r="CB7" i="10" s="1"/>
  <c r="CC7" i="10" s="1"/>
  <c r="CD7" i="10" s="1"/>
  <c r="CE7" i="10" s="1"/>
  <c r="CF7" i="10" s="1"/>
  <c r="CG7" i="10" s="1"/>
  <c r="CH7" i="10" s="1"/>
  <c r="CI7" i="10" s="1"/>
  <c r="CJ7" i="10" s="1"/>
  <c r="CK7" i="10" s="1"/>
  <c r="CL7" i="10" s="1"/>
  <c r="CM7" i="10" s="1"/>
  <c r="CN7" i="10" s="1"/>
  <c r="CO7" i="10" s="1"/>
  <c r="CP7" i="10" s="1"/>
  <c r="CQ7" i="10" s="1"/>
  <c r="CR7" i="10" s="1"/>
  <c r="CS7" i="10" s="1"/>
  <c r="CT7" i="10" s="1"/>
  <c r="CU7" i="10" s="1"/>
  <c r="CV7" i="10" s="1"/>
  <c r="CW7" i="10" s="1"/>
  <c r="CX7" i="10" s="1"/>
  <c r="CY7" i="10" s="1"/>
  <c r="CZ7" i="10" s="1"/>
  <c r="DA7" i="10" s="1"/>
  <c r="DB7" i="10" s="1"/>
  <c r="DC7" i="10" s="1"/>
  <c r="DD7" i="10" s="1"/>
  <c r="DE7" i="10" s="1"/>
  <c r="DF7" i="10" s="1"/>
  <c r="DG7" i="10" s="1"/>
  <c r="DH7" i="10" s="1"/>
  <c r="DI7" i="10" s="1"/>
  <c r="DJ7" i="10" s="1"/>
  <c r="DK7" i="10" s="1"/>
  <c r="DL7" i="10" s="1"/>
  <c r="DM7" i="10" s="1"/>
  <c r="DN7" i="10" s="1"/>
  <c r="DO7" i="10" s="1"/>
  <c r="DP7" i="10" s="1"/>
  <c r="DQ7" i="10" s="1"/>
  <c r="DR7" i="10" s="1"/>
  <c r="DS7" i="10" s="1"/>
  <c r="DT7" i="10" s="1"/>
  <c r="DU7" i="10" s="1"/>
  <c r="DV7" i="10" s="1"/>
  <c r="DW7" i="10" s="1"/>
  <c r="DX7" i="10" s="1"/>
  <c r="DY7" i="10" s="1"/>
  <c r="DZ7" i="10" s="1"/>
  <c r="EA7" i="10" s="1"/>
  <c r="EB7" i="10" s="1"/>
  <c r="EC7" i="10" s="1"/>
  <c r="ED7" i="10" s="1"/>
  <c r="EE7" i="10" s="1"/>
  <c r="EF7" i="10" s="1"/>
  <c r="EG7" i="10" s="1"/>
  <c r="EH7" i="10" s="1"/>
  <c r="EI7" i="10" s="1"/>
  <c r="EJ7" i="10" s="1"/>
  <c r="EK7" i="10" s="1"/>
  <c r="EL7" i="10" s="1"/>
  <c r="EM7" i="10" s="1"/>
  <c r="EN7" i="10" s="1"/>
  <c r="EO7" i="10" s="1"/>
  <c r="EP7" i="10" s="1"/>
  <c r="EQ7" i="10" s="1"/>
  <c r="ER7" i="10" s="1"/>
  <c r="ES7" i="10" s="1"/>
  <c r="ET7" i="10" s="1"/>
  <c r="EU7" i="10" s="1"/>
  <c r="EV7" i="10" s="1"/>
  <c r="EW7" i="10" s="1"/>
  <c r="EX7" i="10" s="1"/>
  <c r="EY7" i="10" s="1"/>
  <c r="EZ7" i="10" s="1"/>
  <c r="FA7" i="10" s="1"/>
  <c r="FB7" i="10" s="1"/>
  <c r="FC7" i="10" s="1"/>
  <c r="FD7" i="10" s="1"/>
  <c r="FE7" i="10" s="1"/>
  <c r="FF7" i="10" s="1"/>
  <c r="FG7" i="10" s="1"/>
  <c r="FH7" i="10" s="1"/>
  <c r="FI7" i="10" s="1"/>
  <c r="FJ7" i="10" s="1"/>
  <c r="FK7" i="10" s="1"/>
  <c r="FL7" i="10" s="1"/>
  <c r="FM7" i="10" s="1"/>
  <c r="FN7" i="10" s="1"/>
  <c r="FO7" i="10" s="1"/>
  <c r="FP7" i="10" s="1"/>
  <c r="FQ7" i="10" s="1"/>
  <c r="FR7" i="10" s="1"/>
  <c r="FS7" i="10" s="1"/>
  <c r="FT7" i="10" s="1"/>
  <c r="FU7" i="10" s="1"/>
  <c r="FV7" i="10" s="1"/>
  <c r="FW7" i="10" s="1"/>
  <c r="FX7" i="10" s="1"/>
  <c r="FY7" i="10" s="1"/>
  <c r="FZ7" i="10" s="1"/>
  <c r="GA7" i="10" s="1"/>
  <c r="GB7" i="10" s="1"/>
  <c r="GC7" i="10" s="1"/>
  <c r="GD7" i="10" s="1"/>
  <c r="GE7" i="10" s="1"/>
  <c r="GF7" i="10" s="1"/>
  <c r="GG7" i="10" s="1"/>
  <c r="GH7" i="10" s="1"/>
  <c r="GI7" i="10" s="1"/>
  <c r="GJ7" i="10" s="1"/>
  <c r="GK7" i="10" s="1"/>
  <c r="GL7" i="10" s="1"/>
  <c r="C7" i="10"/>
  <c r="D7" i="10" s="1"/>
  <c r="E7" i="10" s="1"/>
  <c r="B7" i="10"/>
  <c r="I24" i="8"/>
  <c r="F24" i="8"/>
  <c r="E24" i="8"/>
  <c r="D24" i="8"/>
  <c r="C24" i="8"/>
  <c r="E22" i="7"/>
  <c r="D22" i="7"/>
  <c r="F22" i="7" s="1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C7" i="7"/>
  <c r="D7" i="7" s="1"/>
  <c r="E7" i="7" s="1"/>
  <c r="F7" i="7" s="1"/>
  <c r="G7" i="7" s="1"/>
  <c r="H7" i="7" s="1"/>
  <c r="I7" i="7" s="1"/>
  <c r="J7" i="7" s="1"/>
  <c r="K7" i="7" s="1"/>
  <c r="L7" i="7" s="1"/>
  <c r="M7" i="7" s="1"/>
  <c r="N7" i="7" s="1"/>
  <c r="O7" i="7" s="1"/>
  <c r="P7" i="7" s="1"/>
  <c r="Q7" i="7" s="1"/>
  <c r="R7" i="7" s="1"/>
  <c r="S7" i="7" s="1"/>
  <c r="T7" i="7" s="1"/>
  <c r="U7" i="7" s="1"/>
  <c r="V7" i="7" s="1"/>
  <c r="W7" i="7" s="1"/>
  <c r="X7" i="7" s="1"/>
  <c r="Y7" i="7" s="1"/>
  <c r="Z7" i="7" s="1"/>
  <c r="AA7" i="7" s="1"/>
  <c r="AB7" i="7" s="1"/>
  <c r="AC7" i="7" s="1"/>
  <c r="AD7" i="7" s="1"/>
  <c r="AE7" i="7" s="1"/>
  <c r="AF7" i="7" s="1"/>
  <c r="AG7" i="7" s="1"/>
  <c r="AH7" i="7" s="1"/>
  <c r="AI7" i="7" s="1"/>
  <c r="AJ7" i="7" s="1"/>
  <c r="AK7" i="7" s="1"/>
  <c r="AL7" i="7" s="1"/>
  <c r="AM7" i="7" s="1"/>
  <c r="AN7" i="7" s="1"/>
  <c r="AO7" i="7" s="1"/>
  <c r="AP7" i="7" s="1"/>
  <c r="AQ7" i="7" s="1"/>
  <c r="AR7" i="7" s="1"/>
  <c r="AS7" i="7" s="1"/>
  <c r="AT7" i="7" s="1"/>
  <c r="AU7" i="7" s="1"/>
  <c r="AV7" i="7" s="1"/>
  <c r="AW7" i="7" s="1"/>
  <c r="AX7" i="7" s="1"/>
  <c r="AY7" i="7" s="1"/>
  <c r="AZ7" i="7" s="1"/>
  <c r="BA7" i="7" s="1"/>
  <c r="BB7" i="7" s="1"/>
  <c r="BC7" i="7" s="1"/>
  <c r="BD7" i="7" s="1"/>
  <c r="BE7" i="7" s="1"/>
  <c r="BF7" i="7" s="1"/>
  <c r="BG7" i="7" s="1"/>
  <c r="BH7" i="7" s="1"/>
  <c r="BI7" i="7" s="1"/>
  <c r="BJ7" i="7" s="1"/>
  <c r="BK7" i="7" s="1"/>
  <c r="BL7" i="7" s="1"/>
  <c r="BM7" i="7" s="1"/>
  <c r="BN7" i="7" s="1"/>
  <c r="BO7" i="7" s="1"/>
  <c r="BP7" i="7" s="1"/>
  <c r="BQ7" i="7" s="1"/>
  <c r="BR7" i="7" s="1"/>
  <c r="BS7" i="7" s="1"/>
  <c r="BT7" i="7" s="1"/>
  <c r="BU7" i="7" s="1"/>
  <c r="BV7" i="7" s="1"/>
  <c r="BW7" i="7" s="1"/>
  <c r="BX7" i="7" s="1"/>
  <c r="BY7" i="7" s="1"/>
  <c r="BZ7" i="7" s="1"/>
  <c r="CA7" i="7" s="1"/>
  <c r="CB7" i="7" s="1"/>
  <c r="CC7" i="7" s="1"/>
  <c r="CD7" i="7" s="1"/>
  <c r="CE7" i="7" s="1"/>
  <c r="CF7" i="7" s="1"/>
  <c r="CG7" i="7" s="1"/>
  <c r="CH7" i="7" s="1"/>
  <c r="CI7" i="7" s="1"/>
  <c r="CJ7" i="7" s="1"/>
  <c r="CK7" i="7" s="1"/>
  <c r="CL7" i="7" s="1"/>
  <c r="CM7" i="7" s="1"/>
  <c r="CN7" i="7" s="1"/>
  <c r="CO7" i="7" s="1"/>
  <c r="CP7" i="7" s="1"/>
  <c r="CQ7" i="7" s="1"/>
  <c r="CR7" i="7" s="1"/>
  <c r="CS7" i="7" s="1"/>
  <c r="CT7" i="7" s="1"/>
  <c r="CU7" i="7" s="1"/>
  <c r="CV7" i="7" s="1"/>
  <c r="CW7" i="7" s="1"/>
  <c r="CX7" i="7" s="1"/>
  <c r="CY7" i="7" s="1"/>
  <c r="CZ7" i="7" s="1"/>
  <c r="DA7" i="7" s="1"/>
  <c r="DB7" i="7" s="1"/>
  <c r="DC7" i="7" s="1"/>
  <c r="DD7" i="7" s="1"/>
  <c r="DE7" i="7" s="1"/>
  <c r="DF7" i="7" s="1"/>
  <c r="DG7" i="7" s="1"/>
  <c r="DH7" i="7" s="1"/>
  <c r="DI7" i="7" s="1"/>
  <c r="DJ7" i="7" s="1"/>
  <c r="DK7" i="7" s="1"/>
  <c r="DL7" i="7" s="1"/>
  <c r="DM7" i="7" s="1"/>
  <c r="DN7" i="7" s="1"/>
  <c r="DO7" i="7" s="1"/>
  <c r="DP7" i="7" s="1"/>
  <c r="DQ7" i="7" s="1"/>
  <c r="DR7" i="7" s="1"/>
  <c r="DS7" i="7" s="1"/>
  <c r="DT7" i="7" s="1"/>
  <c r="DU7" i="7" s="1"/>
  <c r="DV7" i="7" s="1"/>
  <c r="DW7" i="7" s="1"/>
  <c r="DX7" i="7" s="1"/>
  <c r="DY7" i="7" s="1"/>
  <c r="DZ7" i="7" s="1"/>
  <c r="EA7" i="7" s="1"/>
  <c r="EB7" i="7" s="1"/>
  <c r="EC7" i="7" s="1"/>
  <c r="ED7" i="7" s="1"/>
  <c r="EE7" i="7" s="1"/>
  <c r="EF7" i="7" s="1"/>
  <c r="EG7" i="7" s="1"/>
  <c r="EH7" i="7" s="1"/>
  <c r="EI7" i="7" s="1"/>
  <c r="EJ7" i="7" s="1"/>
  <c r="EK7" i="7" s="1"/>
  <c r="EL7" i="7" s="1"/>
  <c r="EM7" i="7" s="1"/>
  <c r="EN7" i="7" s="1"/>
  <c r="EO7" i="7" s="1"/>
  <c r="EP7" i="7" s="1"/>
  <c r="EQ7" i="7" s="1"/>
  <c r="ER7" i="7" s="1"/>
  <c r="ES7" i="7" s="1"/>
  <c r="ET7" i="7" s="1"/>
  <c r="EU7" i="7" s="1"/>
  <c r="EV7" i="7" s="1"/>
  <c r="EW7" i="7" s="1"/>
  <c r="EX7" i="7" s="1"/>
  <c r="EY7" i="7" s="1"/>
  <c r="EZ7" i="7" s="1"/>
  <c r="FA7" i="7" s="1"/>
  <c r="FB7" i="7" s="1"/>
  <c r="FC7" i="7" s="1"/>
  <c r="FD7" i="7" s="1"/>
  <c r="FE7" i="7" s="1"/>
  <c r="FF7" i="7" s="1"/>
  <c r="FG7" i="7" s="1"/>
  <c r="FH7" i="7" s="1"/>
  <c r="FI7" i="7" s="1"/>
  <c r="FJ7" i="7" s="1"/>
  <c r="FK7" i="7" s="1"/>
  <c r="FL7" i="7" s="1"/>
  <c r="FM7" i="7" s="1"/>
  <c r="FN7" i="7" s="1"/>
  <c r="FO7" i="7" s="1"/>
  <c r="FP7" i="7" s="1"/>
  <c r="FQ7" i="7" s="1"/>
  <c r="FR7" i="7" s="1"/>
  <c r="FS7" i="7" s="1"/>
  <c r="FT7" i="7" s="1"/>
  <c r="FU7" i="7" s="1"/>
  <c r="FV7" i="7" s="1"/>
  <c r="FW7" i="7" s="1"/>
  <c r="FX7" i="7" s="1"/>
  <c r="FY7" i="7" s="1"/>
  <c r="FZ7" i="7" s="1"/>
  <c r="GA7" i="7" s="1"/>
  <c r="GB7" i="7" s="1"/>
  <c r="GC7" i="7" s="1"/>
  <c r="GD7" i="7" s="1"/>
  <c r="GE7" i="7" s="1"/>
  <c r="GF7" i="7" s="1"/>
  <c r="GG7" i="7" s="1"/>
  <c r="GH7" i="7" s="1"/>
  <c r="GI7" i="7" s="1"/>
  <c r="GJ7" i="7" s="1"/>
  <c r="GK7" i="7" s="1"/>
  <c r="GL7" i="7" s="1"/>
  <c r="B7" i="7"/>
  <c r="I24" i="5"/>
  <c r="F24" i="5"/>
  <c r="E24" i="5"/>
  <c r="D24" i="5"/>
  <c r="C24" i="5"/>
  <c r="G22" i="10" l="1"/>
  <c r="L14" i="10" s="1"/>
  <c r="G22" i="7"/>
  <c r="L19" i="7" s="1"/>
  <c r="H22" i="10"/>
  <c r="H22" i="7"/>
  <c r="G7" i="2"/>
  <c r="L9" i="10" l="1"/>
  <c r="L20" i="7"/>
  <c r="L9" i="7"/>
  <c r="L13" i="7"/>
  <c r="L10" i="7"/>
  <c r="L21" i="7"/>
  <c r="L14" i="7"/>
  <c r="L15" i="7"/>
  <c r="L16" i="10"/>
  <c r="L20" i="10"/>
  <c r="L16" i="7"/>
  <c r="L17" i="7"/>
  <c r="L21" i="10"/>
  <c r="L19" i="10"/>
  <c r="L10" i="10"/>
  <c r="L18" i="7"/>
  <c r="L11" i="7"/>
  <c r="L13" i="10"/>
  <c r="L17" i="10"/>
  <c r="L15" i="10"/>
  <c r="L11" i="10"/>
  <c r="L18" i="10"/>
  <c r="L12" i="10"/>
  <c r="L12" i="7"/>
  <c r="J22" i="10"/>
  <c r="J22" i="7"/>
  <c r="L22" i="7" l="1"/>
  <c r="L22" i="10"/>
  <c r="G19" i="2"/>
  <c r="G18" i="2"/>
  <c r="G17" i="2"/>
  <c r="G16" i="2"/>
  <c r="G15" i="2"/>
  <c r="G14" i="2"/>
  <c r="G13" i="2"/>
  <c r="G12" i="2"/>
  <c r="G11" i="2"/>
  <c r="G10" i="2"/>
  <c r="G9" i="2"/>
  <c r="G8" i="2"/>
  <c r="I24" i="1"/>
  <c r="D22" i="4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H24" i="1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BQ7" i="4"/>
  <c r="BR7" i="4"/>
  <c r="BS7" i="4"/>
  <c r="BT7" i="4"/>
  <c r="BU7" i="4"/>
  <c r="BV7" i="4"/>
  <c r="BW7" i="4"/>
  <c r="BX7" i="4"/>
  <c r="BY7" i="4"/>
  <c r="BZ7" i="4"/>
  <c r="CA7" i="4"/>
  <c r="CB7" i="4"/>
  <c r="CC7" i="4"/>
  <c r="CD7" i="4"/>
  <c r="CE7" i="4"/>
  <c r="CF7" i="4"/>
  <c r="CG7" i="4"/>
  <c r="CH7" i="4"/>
  <c r="CI7" i="4"/>
  <c r="CJ7" i="4"/>
  <c r="CK7" i="4"/>
  <c r="CL7" i="4"/>
  <c r="CM7" i="4"/>
  <c r="CN7" i="4"/>
  <c r="CO7" i="4"/>
  <c r="CP7" i="4"/>
  <c r="CQ7" i="4"/>
  <c r="CR7" i="4"/>
  <c r="CS7" i="4"/>
  <c r="CT7" i="4"/>
  <c r="CU7" i="4"/>
  <c r="CV7" i="4"/>
  <c r="CW7" i="4"/>
  <c r="CX7" i="4"/>
  <c r="CY7" i="4"/>
  <c r="CZ7" i="4"/>
  <c r="DA7" i="4"/>
  <c r="DB7" i="4"/>
  <c r="DC7" i="4"/>
  <c r="DD7" i="4"/>
  <c r="DE7" i="4"/>
  <c r="DF7" i="4"/>
  <c r="DG7" i="4"/>
  <c r="DH7" i="4"/>
  <c r="DI7" i="4"/>
  <c r="DJ7" i="4"/>
  <c r="DK7" i="4"/>
  <c r="DL7" i="4"/>
  <c r="DM7" i="4"/>
  <c r="DN7" i="4"/>
  <c r="DO7" i="4"/>
  <c r="DP7" i="4"/>
  <c r="DQ7" i="4"/>
  <c r="DR7" i="4"/>
  <c r="DS7" i="4"/>
  <c r="DT7" i="4"/>
  <c r="DU7" i="4"/>
  <c r="DV7" i="4"/>
  <c r="DW7" i="4"/>
  <c r="DX7" i="4"/>
  <c r="DY7" i="4"/>
  <c r="DZ7" i="4"/>
  <c r="EA7" i="4"/>
  <c r="EB7" i="4"/>
  <c r="EC7" i="4"/>
  <c r="ED7" i="4"/>
  <c r="EE7" i="4"/>
  <c r="EF7" i="4"/>
  <c r="EG7" i="4"/>
  <c r="EH7" i="4"/>
  <c r="EI7" i="4"/>
  <c r="EJ7" i="4"/>
  <c r="EK7" i="4"/>
  <c r="EL7" i="4"/>
  <c r="EM7" i="4"/>
  <c r="EN7" i="4"/>
  <c r="EO7" i="4"/>
  <c r="EP7" i="4"/>
  <c r="EQ7" i="4"/>
  <c r="ER7" i="4"/>
  <c r="ES7" i="4"/>
  <c r="ET7" i="4"/>
  <c r="EU7" i="4"/>
  <c r="EV7" i="4"/>
  <c r="EW7" i="4"/>
  <c r="EX7" i="4"/>
  <c r="EY7" i="4"/>
  <c r="EZ7" i="4"/>
  <c r="FA7" i="4"/>
  <c r="FB7" i="4"/>
  <c r="FC7" i="4"/>
  <c r="FD7" i="4"/>
  <c r="FE7" i="4"/>
  <c r="FF7" i="4"/>
  <c r="FG7" i="4"/>
  <c r="FH7" i="4"/>
  <c r="FI7" i="4"/>
  <c r="FJ7" i="4"/>
  <c r="FK7" i="4"/>
  <c r="FL7" i="4"/>
  <c r="FM7" i="4"/>
  <c r="FN7" i="4"/>
  <c r="FO7" i="4"/>
  <c r="FP7" i="4"/>
  <c r="FQ7" i="4"/>
  <c r="FR7" i="4"/>
  <c r="FS7" i="4"/>
  <c r="FT7" i="4"/>
  <c r="FU7" i="4"/>
  <c r="FV7" i="4"/>
  <c r="FW7" i="4"/>
  <c r="FX7" i="4"/>
  <c r="FY7" i="4"/>
  <c r="FZ7" i="4"/>
  <c r="GA7" i="4"/>
  <c r="GB7" i="4"/>
  <c r="GC7" i="4"/>
  <c r="GD7" i="4"/>
  <c r="GE7" i="4"/>
  <c r="GF7" i="4"/>
  <c r="GG7" i="4"/>
  <c r="GH7" i="4"/>
  <c r="GI7" i="4"/>
  <c r="GJ7" i="4"/>
  <c r="D24" i="1"/>
  <c r="C24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E22" i="4"/>
  <c r="G9" i="4"/>
  <c r="H9" i="4"/>
  <c r="B6" i="2"/>
  <c r="C6" i="2"/>
  <c r="D6" i="2"/>
  <c r="E6" i="2"/>
  <c r="F6" i="2"/>
  <c r="GK7" i="4"/>
  <c r="GL7" i="4"/>
  <c r="H22" i="4" l="1"/>
  <c r="G22" i="4"/>
  <c r="E15" i="2"/>
  <c r="H15" i="2" s="1"/>
  <c r="I17" i="4" s="1"/>
  <c r="F22" i="4"/>
  <c r="J22" i="4" l="1"/>
  <c r="L9" i="4"/>
  <c r="L21" i="4"/>
  <c r="L12" i="4"/>
  <c r="L18" i="4"/>
  <c r="L20" i="4"/>
  <c r="L15" i="4"/>
  <c r="L11" i="4"/>
  <c r="L13" i="4"/>
  <c r="L16" i="4"/>
  <c r="L19" i="4"/>
  <c r="L10" i="4"/>
  <c r="L17" i="4"/>
  <c r="M17" i="4" s="1"/>
  <c r="L14" i="4"/>
  <c r="K17" i="4"/>
  <c r="E18" i="2"/>
  <c r="H18" i="2" s="1"/>
  <c r="E19" i="2"/>
  <c r="H19" i="2" s="1"/>
  <c r="I21" i="10" s="1"/>
  <c r="M21" i="10" s="1"/>
  <c r="E10" i="2"/>
  <c r="H10" i="2" s="1"/>
  <c r="I12" i="4" s="1"/>
  <c r="K12" i="4" s="1"/>
  <c r="E13" i="2"/>
  <c r="H13" i="2" s="1"/>
  <c r="I15" i="4" s="1"/>
  <c r="E17" i="2"/>
  <c r="H17" i="2" s="1"/>
  <c r="I19" i="4" s="1"/>
  <c r="K19" i="4" s="1"/>
  <c r="E8" i="2"/>
  <c r="H8" i="2" s="1"/>
  <c r="I10" i="4" s="1"/>
  <c r="K10" i="4" s="1"/>
  <c r="E11" i="2"/>
  <c r="H11" i="2" s="1"/>
  <c r="E14" i="2"/>
  <c r="H14" i="2" s="1"/>
  <c r="E16" i="2"/>
  <c r="H16" i="2" s="1"/>
  <c r="E7" i="2"/>
  <c r="H7" i="2" s="1"/>
  <c r="I9" i="10" s="1"/>
  <c r="M9" i="10" s="1"/>
  <c r="E9" i="2"/>
  <c r="H9" i="2" s="1"/>
  <c r="I11" i="10" s="1"/>
  <c r="M11" i="10" s="1"/>
  <c r="E12" i="2"/>
  <c r="H12" i="2" s="1"/>
  <c r="I14" i="7" s="1"/>
  <c r="M14" i="7" s="1"/>
  <c r="I17" i="10"/>
  <c r="K17" i="10" s="1"/>
  <c r="I17" i="7"/>
  <c r="K17" i="7" s="1"/>
  <c r="I12" i="10" l="1"/>
  <c r="M12" i="10" s="1"/>
  <c r="K9" i="10"/>
  <c r="K14" i="7"/>
  <c r="I15" i="7"/>
  <c r="M15" i="7" s="1"/>
  <c r="L22" i="4"/>
  <c r="M12" i="4"/>
  <c r="K21" i="10"/>
  <c r="I20" i="4"/>
  <c r="I20" i="7"/>
  <c r="I15" i="10"/>
  <c r="I12" i="7"/>
  <c r="I20" i="10"/>
  <c r="M17" i="7"/>
  <c r="M17" i="10"/>
  <c r="K11" i="10"/>
  <c r="I21" i="7"/>
  <c r="I21" i="4"/>
  <c r="I18" i="10"/>
  <c r="I18" i="4"/>
  <c r="I18" i="7"/>
  <c r="I14" i="10"/>
  <c r="I11" i="4"/>
  <c r="I11" i="7"/>
  <c r="I16" i="4"/>
  <c r="I16" i="10"/>
  <c r="I16" i="7"/>
  <c r="I10" i="7"/>
  <c r="I10" i="10"/>
  <c r="I9" i="4"/>
  <c r="I9" i="7"/>
  <c r="I13" i="4"/>
  <c r="I13" i="10"/>
  <c r="I13" i="7"/>
  <c r="I19" i="10"/>
  <c r="I19" i="7"/>
  <c r="I14" i="4"/>
  <c r="K14" i="4" s="1"/>
  <c r="K15" i="4"/>
  <c r="M15" i="4"/>
  <c r="M10" i="4"/>
  <c r="M19" i="4"/>
  <c r="K15" i="7" l="1"/>
  <c r="K12" i="10"/>
  <c r="K20" i="10"/>
  <c r="M20" i="10"/>
  <c r="K20" i="4"/>
  <c r="M20" i="4"/>
  <c r="K12" i="7"/>
  <c r="M12" i="7"/>
  <c r="K21" i="4"/>
  <c r="M21" i="4"/>
  <c r="M15" i="10"/>
  <c r="K15" i="10"/>
  <c r="K21" i="7"/>
  <c r="M21" i="7"/>
  <c r="K20" i="7"/>
  <c r="M20" i="7"/>
  <c r="K13" i="7"/>
  <c r="M13" i="7"/>
  <c r="K9" i="4"/>
  <c r="M9" i="4"/>
  <c r="K16" i="10"/>
  <c r="M16" i="10"/>
  <c r="K14" i="10"/>
  <c r="M14" i="10"/>
  <c r="K19" i="10"/>
  <c r="M19" i="10"/>
  <c r="K9" i="7"/>
  <c r="M9" i="7"/>
  <c r="M16" i="7"/>
  <c r="K16" i="7"/>
  <c r="K11" i="4"/>
  <c r="M11" i="4"/>
  <c r="K18" i="10"/>
  <c r="M18" i="10"/>
  <c r="M13" i="10"/>
  <c r="K13" i="10"/>
  <c r="K10" i="10"/>
  <c r="M10" i="10"/>
  <c r="K16" i="4"/>
  <c r="M16" i="4"/>
  <c r="K18" i="7"/>
  <c r="M18" i="7"/>
  <c r="M14" i="4"/>
  <c r="M19" i="7"/>
  <c r="K19" i="7"/>
  <c r="K13" i="4"/>
  <c r="M13" i="4"/>
  <c r="K10" i="7"/>
  <c r="M10" i="7"/>
  <c r="M11" i="7"/>
  <c r="K11" i="7"/>
  <c r="K18" i="4"/>
  <c r="M18" i="4"/>
  <c r="N22" i="4" l="1"/>
  <c r="O20" i="4" s="1"/>
  <c r="P20" i="4" s="1"/>
  <c r="N22" i="7"/>
  <c r="N22" i="10"/>
  <c r="O9" i="4" l="1"/>
  <c r="P9" i="4" s="1"/>
  <c r="O18" i="4"/>
  <c r="P18" i="4" s="1"/>
  <c r="O15" i="4"/>
  <c r="P15" i="4" s="1"/>
  <c r="O13" i="4"/>
  <c r="P13" i="4" s="1"/>
  <c r="O17" i="4"/>
  <c r="P17" i="4" s="1"/>
  <c r="O21" i="4"/>
  <c r="P21" i="4" s="1"/>
  <c r="O16" i="4"/>
  <c r="P16" i="4" s="1"/>
  <c r="O12" i="4"/>
  <c r="P12" i="4" s="1"/>
  <c r="O19" i="4"/>
  <c r="P19" i="4" s="1"/>
  <c r="O10" i="4"/>
  <c r="P10" i="4" s="1"/>
  <c r="O14" i="4"/>
  <c r="P14" i="4" s="1"/>
  <c r="O11" i="4"/>
  <c r="P11" i="4" s="1"/>
  <c r="O18" i="10"/>
  <c r="P18" i="10" s="1"/>
  <c r="O17" i="10"/>
  <c r="P17" i="10" s="1"/>
  <c r="O21" i="10"/>
  <c r="P21" i="10" s="1"/>
  <c r="O11" i="10"/>
  <c r="P11" i="10" s="1"/>
  <c r="O19" i="10"/>
  <c r="P19" i="10" s="1"/>
  <c r="O10" i="10"/>
  <c r="P10" i="10" s="1"/>
  <c r="O16" i="10"/>
  <c r="P16" i="10" s="1"/>
  <c r="O15" i="10"/>
  <c r="P15" i="10" s="1"/>
  <c r="O20" i="10"/>
  <c r="P20" i="10" s="1"/>
  <c r="O12" i="10"/>
  <c r="P12" i="10" s="1"/>
  <c r="O14" i="10"/>
  <c r="P14" i="10" s="1"/>
  <c r="O9" i="10"/>
  <c r="P9" i="10" s="1"/>
  <c r="O13" i="10"/>
  <c r="P13" i="10" s="1"/>
  <c r="O19" i="7"/>
  <c r="P19" i="7" s="1"/>
  <c r="O21" i="7"/>
  <c r="P21" i="7" s="1"/>
  <c r="O10" i="7"/>
  <c r="P10" i="7" s="1"/>
  <c r="O16" i="7"/>
  <c r="P16" i="7" s="1"/>
  <c r="O14" i="7"/>
  <c r="P14" i="7" s="1"/>
  <c r="O18" i="7"/>
  <c r="P18" i="7" s="1"/>
  <c r="O12" i="7"/>
  <c r="P12" i="7" s="1"/>
  <c r="O20" i="7"/>
  <c r="P20" i="7" s="1"/>
  <c r="O17" i="7"/>
  <c r="P17" i="7" s="1"/>
  <c r="O11" i="7"/>
  <c r="P11" i="7" s="1"/>
  <c r="O15" i="7"/>
  <c r="P15" i="7" s="1"/>
  <c r="O9" i="7"/>
  <c r="P9" i="7" s="1"/>
  <c r="O13" i="7"/>
  <c r="P13" i="7" s="1"/>
  <c r="P22" i="7" l="1"/>
  <c r="Q10" i="7" s="1"/>
  <c r="T10" i="7" s="1"/>
  <c r="P22" i="4"/>
  <c r="P22" i="10"/>
  <c r="Q12" i="7" l="1"/>
  <c r="T12" i="7" s="1"/>
  <c r="Q13" i="7"/>
  <c r="T13" i="7" s="1"/>
  <c r="Q14" i="7"/>
  <c r="T14" i="7" s="1"/>
  <c r="Q20" i="7"/>
  <c r="T20" i="7" s="1"/>
  <c r="Q17" i="7"/>
  <c r="T17" i="7" s="1"/>
  <c r="Q19" i="7"/>
  <c r="T19" i="7" s="1"/>
  <c r="Q16" i="7"/>
  <c r="T16" i="7" s="1"/>
  <c r="Q18" i="7"/>
  <c r="T18" i="7" s="1"/>
  <c r="Q21" i="7"/>
  <c r="T21" i="7" s="1"/>
  <c r="Q15" i="7"/>
  <c r="T15" i="7" s="1"/>
  <c r="Q9" i="7"/>
  <c r="T9" i="7" s="1"/>
  <c r="Q11" i="7"/>
  <c r="T11" i="7" s="1"/>
  <c r="Q13" i="4"/>
  <c r="T13" i="4" s="1"/>
  <c r="Q10" i="4"/>
  <c r="T10" i="4" s="1"/>
  <c r="Q9" i="4"/>
  <c r="Q18" i="4"/>
  <c r="T18" i="4" s="1"/>
  <c r="Q17" i="4"/>
  <c r="T17" i="4" s="1"/>
  <c r="Q19" i="4"/>
  <c r="T19" i="4" s="1"/>
  <c r="Q16" i="4"/>
  <c r="T16" i="4" s="1"/>
  <c r="Q21" i="4"/>
  <c r="T21" i="4" s="1"/>
  <c r="Q20" i="4"/>
  <c r="T20" i="4" s="1"/>
  <c r="Q15" i="4"/>
  <c r="T15" i="4" s="1"/>
  <c r="Q12" i="4"/>
  <c r="T12" i="4" s="1"/>
  <c r="Q14" i="4"/>
  <c r="T14" i="4" s="1"/>
  <c r="Q11" i="4"/>
  <c r="T11" i="4" s="1"/>
  <c r="Q18" i="10"/>
  <c r="Q14" i="10"/>
  <c r="Q11" i="10"/>
  <c r="Q17" i="10"/>
  <c r="Q15" i="10"/>
  <c r="Q16" i="10"/>
  <c r="Q19" i="10"/>
  <c r="Q10" i="10"/>
  <c r="Q12" i="10"/>
  <c r="Q20" i="10"/>
  <c r="Q21" i="10"/>
  <c r="Q9" i="10"/>
  <c r="Q13" i="10"/>
  <c r="T10" i="10" l="1"/>
  <c r="T17" i="10"/>
  <c r="T21" i="10"/>
  <c r="T19" i="10"/>
  <c r="T11" i="10"/>
  <c r="T14" i="10"/>
  <c r="T20" i="10"/>
  <c r="T16" i="10"/>
  <c r="T13" i="10"/>
  <c r="T12" i="10"/>
  <c r="T15" i="10"/>
  <c r="T18" i="10"/>
  <c r="S22" i="7"/>
  <c r="U15" i="7" s="1"/>
  <c r="Q22" i="7"/>
  <c r="R22" i="7" s="1"/>
  <c r="T9" i="4"/>
  <c r="S22" i="4" s="1"/>
  <c r="Q22" i="4"/>
  <c r="R22" i="4" s="1"/>
  <c r="Q22" i="10"/>
  <c r="R22" i="10" s="1"/>
  <c r="T9" i="10"/>
  <c r="S22" i="10" l="1"/>
  <c r="U10" i="10" s="1"/>
  <c r="V10" i="10" s="1"/>
  <c r="U17" i="7"/>
  <c r="V17" i="7" s="1"/>
  <c r="U14" i="7"/>
  <c r="V14" i="7" s="1"/>
  <c r="U16" i="7"/>
  <c r="V16" i="7" s="1"/>
  <c r="U10" i="7"/>
  <c r="V10" i="7" s="1"/>
  <c r="U18" i="7"/>
  <c r="V18" i="7" s="1"/>
  <c r="U19" i="7"/>
  <c r="V19" i="7" s="1"/>
  <c r="U12" i="7"/>
  <c r="V12" i="7" s="1"/>
  <c r="U9" i="7"/>
  <c r="V9" i="7" s="1"/>
  <c r="U21" i="7"/>
  <c r="V21" i="7" s="1"/>
  <c r="U13" i="7"/>
  <c r="V13" i="7" s="1"/>
  <c r="U11" i="7"/>
  <c r="V11" i="7" s="1"/>
  <c r="U20" i="7"/>
  <c r="V20" i="7" s="1"/>
  <c r="V15" i="7"/>
  <c r="U13" i="4"/>
  <c r="V13" i="4" s="1"/>
  <c r="U12" i="4"/>
  <c r="V12" i="4" s="1"/>
  <c r="U18" i="4"/>
  <c r="V18" i="4" s="1"/>
  <c r="U15" i="4"/>
  <c r="V15" i="4" s="1"/>
  <c r="U16" i="4"/>
  <c r="V16" i="4" s="1"/>
  <c r="U21" i="4"/>
  <c r="V21" i="4" s="1"/>
  <c r="U20" i="4"/>
  <c r="V20" i="4" s="1"/>
  <c r="U19" i="4"/>
  <c r="V19" i="4" s="1"/>
  <c r="U17" i="4"/>
  <c r="V17" i="4" s="1"/>
  <c r="U9" i="4"/>
  <c r="V9" i="4" s="1"/>
  <c r="U11" i="4"/>
  <c r="V11" i="4" s="1"/>
  <c r="U10" i="4"/>
  <c r="V10" i="4" s="1"/>
  <c r="U14" i="4"/>
  <c r="V14" i="4" s="1"/>
  <c r="U16" i="10" l="1"/>
  <c r="V16" i="10" s="1"/>
  <c r="U9" i="10"/>
  <c r="V9" i="10" s="1"/>
  <c r="U17" i="10"/>
  <c r="V17" i="10" s="1"/>
  <c r="U12" i="10"/>
  <c r="V12" i="10" s="1"/>
  <c r="U15" i="10"/>
  <c r="V15" i="10" s="1"/>
  <c r="U11" i="10"/>
  <c r="V11" i="10" s="1"/>
  <c r="U20" i="10"/>
  <c r="V20" i="10" s="1"/>
  <c r="U21" i="10"/>
  <c r="V21" i="10" s="1"/>
  <c r="U13" i="10"/>
  <c r="V13" i="10" s="1"/>
  <c r="U14" i="10"/>
  <c r="V14" i="10" s="1"/>
  <c r="U19" i="10"/>
  <c r="V19" i="10" s="1"/>
  <c r="U18" i="10"/>
  <c r="V18" i="10" s="1"/>
  <c r="V22" i="7"/>
  <c r="W21" i="7" s="1"/>
  <c r="Z21" i="7" s="1"/>
  <c r="V22" i="4"/>
  <c r="V22" i="10" l="1"/>
  <c r="W15" i="10" s="1"/>
  <c r="W20" i="7"/>
  <c r="Z20" i="7" s="1"/>
  <c r="W15" i="7"/>
  <c r="Z15" i="7" s="1"/>
  <c r="W9" i="7"/>
  <c r="Z9" i="7" s="1"/>
  <c r="W10" i="7"/>
  <c r="Z10" i="7" s="1"/>
  <c r="W18" i="7"/>
  <c r="Z18" i="7" s="1"/>
  <c r="W16" i="7"/>
  <c r="Z16" i="7" s="1"/>
  <c r="W14" i="7"/>
  <c r="Z14" i="7" s="1"/>
  <c r="W13" i="7"/>
  <c r="Z13" i="7" s="1"/>
  <c r="W11" i="7"/>
  <c r="Z11" i="7" s="1"/>
  <c r="W17" i="7"/>
  <c r="Z17" i="7" s="1"/>
  <c r="W12" i="7"/>
  <c r="Z12" i="7" s="1"/>
  <c r="W19" i="7"/>
  <c r="Z19" i="7" s="1"/>
  <c r="W18" i="4"/>
  <c r="Z18" i="4" s="1"/>
  <c r="W12" i="4"/>
  <c r="Z12" i="4" s="1"/>
  <c r="W14" i="4"/>
  <c r="Z14" i="4" s="1"/>
  <c r="W20" i="4"/>
  <c r="Z20" i="4" s="1"/>
  <c r="W15" i="4"/>
  <c r="Z15" i="4" s="1"/>
  <c r="W19" i="4"/>
  <c r="Z19" i="4" s="1"/>
  <c r="W21" i="4"/>
  <c r="Z21" i="4" s="1"/>
  <c r="W13" i="4"/>
  <c r="Z13" i="4" s="1"/>
  <c r="W17" i="4"/>
  <c r="Z17" i="4" s="1"/>
  <c r="W9" i="4"/>
  <c r="W11" i="4"/>
  <c r="Z11" i="4" s="1"/>
  <c r="W10" i="4"/>
  <c r="Z10" i="4" s="1"/>
  <c r="W16" i="4"/>
  <c r="Z16" i="4" s="1"/>
  <c r="W9" i="10" l="1"/>
  <c r="Z9" i="10" s="1"/>
  <c r="W13" i="10"/>
  <c r="Z13" i="10" s="1"/>
  <c r="W18" i="10"/>
  <c r="W20" i="10"/>
  <c r="Z20" i="10" s="1"/>
  <c r="W17" i="10"/>
  <c r="Z17" i="10" s="1"/>
  <c r="W14" i="10"/>
  <c r="W10" i="10"/>
  <c r="Z10" i="10" s="1"/>
  <c r="W11" i="10"/>
  <c r="Z11" i="10" s="1"/>
  <c r="W21" i="10"/>
  <c r="Z21" i="10" s="1"/>
  <c r="W19" i="10"/>
  <c r="Z19" i="10" s="1"/>
  <c r="W16" i="10"/>
  <c r="Z16" i="10" s="1"/>
  <c r="W12" i="10"/>
  <c r="Z12" i="10" s="1"/>
  <c r="Z15" i="10"/>
  <c r="Z14" i="10"/>
  <c r="Z18" i="10"/>
  <c r="Y22" i="7"/>
  <c r="AA20" i="7" s="1"/>
  <c r="AB20" i="7" s="1"/>
  <c r="W22" i="7"/>
  <c r="X22" i="7" s="1"/>
  <c r="Z9" i="4"/>
  <c r="Y22" i="4" s="1"/>
  <c r="AA9" i="4" s="1"/>
  <c r="W22" i="4"/>
  <c r="X22" i="4" s="1"/>
  <c r="W22" i="10" l="1"/>
  <c r="X22" i="10" s="1"/>
  <c r="Y22" i="10"/>
  <c r="AA13" i="10" s="1"/>
  <c r="AB13" i="10" s="1"/>
  <c r="AA10" i="7"/>
  <c r="AB10" i="7" s="1"/>
  <c r="AA13" i="7"/>
  <c r="AB13" i="7" s="1"/>
  <c r="AA14" i="7"/>
  <c r="AB14" i="7" s="1"/>
  <c r="AA16" i="7"/>
  <c r="AB16" i="7" s="1"/>
  <c r="AA15" i="7"/>
  <c r="AB15" i="7" s="1"/>
  <c r="AA9" i="7"/>
  <c r="AB9" i="7" s="1"/>
  <c r="AA18" i="7"/>
  <c r="AB18" i="7" s="1"/>
  <c r="AA17" i="7"/>
  <c r="AB17" i="7" s="1"/>
  <c r="AA19" i="7"/>
  <c r="AB19" i="7" s="1"/>
  <c r="AA21" i="7"/>
  <c r="AB21" i="7" s="1"/>
  <c r="AA12" i="7"/>
  <c r="AB12" i="7" s="1"/>
  <c r="AA11" i="7"/>
  <c r="AB11" i="7" s="1"/>
  <c r="AB9" i="4"/>
  <c r="AA14" i="4"/>
  <c r="AB14" i="4" s="1"/>
  <c r="AA10" i="4"/>
  <c r="AB10" i="4" s="1"/>
  <c r="AA20" i="4"/>
  <c r="AB20" i="4" s="1"/>
  <c r="AA18" i="4"/>
  <c r="AB18" i="4" s="1"/>
  <c r="AA21" i="4"/>
  <c r="AB21" i="4" s="1"/>
  <c r="AA17" i="4"/>
  <c r="AB17" i="4" s="1"/>
  <c r="AA11" i="4"/>
  <c r="AB11" i="4" s="1"/>
  <c r="AA16" i="4"/>
  <c r="AB16" i="4" s="1"/>
  <c r="AA12" i="4"/>
  <c r="AB12" i="4" s="1"/>
  <c r="AA19" i="4"/>
  <c r="AB19" i="4" s="1"/>
  <c r="AA15" i="4"/>
  <c r="AB15" i="4" s="1"/>
  <c r="AA13" i="4"/>
  <c r="AB13" i="4" s="1"/>
  <c r="AA20" i="10" l="1"/>
  <c r="AB20" i="10" s="1"/>
  <c r="AA17" i="10"/>
  <c r="AB17" i="10" s="1"/>
  <c r="AA9" i="10"/>
  <c r="AB9" i="10" s="1"/>
  <c r="AA12" i="10"/>
  <c r="AB12" i="10" s="1"/>
  <c r="AA19" i="10"/>
  <c r="AB19" i="10" s="1"/>
  <c r="AA10" i="10"/>
  <c r="AB10" i="10" s="1"/>
  <c r="AA14" i="10"/>
  <c r="AB14" i="10" s="1"/>
  <c r="AA15" i="10"/>
  <c r="AB15" i="10" s="1"/>
  <c r="AA21" i="10"/>
  <c r="AB21" i="10" s="1"/>
  <c r="AA18" i="10"/>
  <c r="AB18" i="10" s="1"/>
  <c r="AA11" i="10"/>
  <c r="AB11" i="10" s="1"/>
  <c r="AA16" i="10"/>
  <c r="AB16" i="10" s="1"/>
  <c r="AB22" i="7"/>
  <c r="AC21" i="7" s="1"/>
  <c r="AB22" i="4"/>
  <c r="AC9" i="4" s="1"/>
  <c r="AB22" i="10" l="1"/>
  <c r="AC11" i="10" s="1"/>
  <c r="AC16" i="7"/>
  <c r="AF16" i="7" s="1"/>
  <c r="AC10" i="7"/>
  <c r="AF10" i="7" s="1"/>
  <c r="AC9" i="7"/>
  <c r="AF9" i="7" s="1"/>
  <c r="AC12" i="7"/>
  <c r="AF12" i="7" s="1"/>
  <c r="AC15" i="7"/>
  <c r="AF15" i="7" s="1"/>
  <c r="AC20" i="7"/>
  <c r="AF20" i="7" s="1"/>
  <c r="AC14" i="7"/>
  <c r="AF14" i="7" s="1"/>
  <c r="AC11" i="7"/>
  <c r="AF11" i="7" s="1"/>
  <c r="AC19" i="7"/>
  <c r="AF19" i="7" s="1"/>
  <c r="AC13" i="7"/>
  <c r="AF13" i="7" s="1"/>
  <c r="AC18" i="7"/>
  <c r="AF18" i="7" s="1"/>
  <c r="AC17" i="7"/>
  <c r="AF17" i="7" s="1"/>
  <c r="AF21" i="7"/>
  <c r="AC18" i="4"/>
  <c r="AF18" i="4" s="1"/>
  <c r="AC10" i="4"/>
  <c r="AF10" i="4" s="1"/>
  <c r="AC11" i="4"/>
  <c r="AF11" i="4" s="1"/>
  <c r="AC13" i="4"/>
  <c r="AF13" i="4" s="1"/>
  <c r="AC20" i="4"/>
  <c r="AF20" i="4" s="1"/>
  <c r="AC12" i="4"/>
  <c r="AF12" i="4" s="1"/>
  <c r="AC16" i="4"/>
  <c r="AF16" i="4" s="1"/>
  <c r="AC21" i="4"/>
  <c r="AF21" i="4" s="1"/>
  <c r="AC14" i="4"/>
  <c r="AF14" i="4" s="1"/>
  <c r="AC17" i="4"/>
  <c r="AF17" i="4" s="1"/>
  <c r="AC19" i="4"/>
  <c r="AF19" i="4" s="1"/>
  <c r="AC15" i="4"/>
  <c r="AF15" i="4" s="1"/>
  <c r="AF9" i="4"/>
  <c r="AC21" i="10" l="1"/>
  <c r="AC12" i="10"/>
  <c r="AC15" i="10"/>
  <c r="AF15" i="10" s="1"/>
  <c r="AC18" i="10"/>
  <c r="AF18" i="10" s="1"/>
  <c r="AC13" i="10"/>
  <c r="AC19" i="10"/>
  <c r="AC20" i="10"/>
  <c r="AF20" i="10" s="1"/>
  <c r="AC16" i="10"/>
  <c r="AF16" i="10" s="1"/>
  <c r="AC10" i="10"/>
  <c r="AC17" i="10"/>
  <c r="AF17" i="10" s="1"/>
  <c r="AC9" i="10"/>
  <c r="AF9" i="10" s="1"/>
  <c r="AC14" i="10"/>
  <c r="AF14" i="10" s="1"/>
  <c r="AF21" i="10"/>
  <c r="AF12" i="10"/>
  <c r="AF13" i="10"/>
  <c r="AF19" i="10"/>
  <c r="AF10" i="10"/>
  <c r="AF11" i="10"/>
  <c r="AE22" i="7"/>
  <c r="AG18" i="7" s="1"/>
  <c r="AC22" i="7"/>
  <c r="AD22" i="7" s="1"/>
  <c r="AC22" i="4"/>
  <c r="AD22" i="4" s="1"/>
  <c r="AE22" i="4"/>
  <c r="AG9" i="4" s="1"/>
  <c r="AH9" i="4" s="1"/>
  <c r="AC22" i="10" l="1"/>
  <c r="AD22" i="10" s="1"/>
  <c r="AE22" i="10"/>
  <c r="AG14" i="10" s="1"/>
  <c r="AH14" i="10" s="1"/>
  <c r="AG14" i="7"/>
  <c r="AH14" i="7" s="1"/>
  <c r="AG9" i="7"/>
  <c r="AH9" i="7" s="1"/>
  <c r="AG21" i="7"/>
  <c r="AH21" i="7" s="1"/>
  <c r="AG15" i="7"/>
  <c r="AH15" i="7" s="1"/>
  <c r="AG17" i="7"/>
  <c r="AH17" i="7" s="1"/>
  <c r="AG20" i="7"/>
  <c r="AH20" i="7" s="1"/>
  <c r="AG11" i="7"/>
  <c r="AH11" i="7" s="1"/>
  <c r="AG10" i="7"/>
  <c r="AH10" i="7" s="1"/>
  <c r="AG12" i="7"/>
  <c r="AH12" i="7" s="1"/>
  <c r="AG16" i="7"/>
  <c r="AH16" i="7" s="1"/>
  <c r="AG19" i="7"/>
  <c r="AH19" i="7" s="1"/>
  <c r="AG13" i="7"/>
  <c r="AH13" i="7" s="1"/>
  <c r="AH18" i="7"/>
  <c r="AG15" i="4"/>
  <c r="AH15" i="4" s="1"/>
  <c r="AG20" i="4"/>
  <c r="AH20" i="4" s="1"/>
  <c r="AG21" i="4"/>
  <c r="AH21" i="4" s="1"/>
  <c r="AG11" i="4"/>
  <c r="AH11" i="4" s="1"/>
  <c r="AG14" i="4"/>
  <c r="AH14" i="4" s="1"/>
  <c r="AG10" i="4"/>
  <c r="AH10" i="4" s="1"/>
  <c r="AG17" i="4"/>
  <c r="AH17" i="4" s="1"/>
  <c r="AG16" i="4"/>
  <c r="AH16" i="4" s="1"/>
  <c r="AG18" i="4"/>
  <c r="AH18" i="4" s="1"/>
  <c r="AG19" i="4"/>
  <c r="AH19" i="4" s="1"/>
  <c r="AG12" i="4"/>
  <c r="AH12" i="4" s="1"/>
  <c r="AG13" i="4"/>
  <c r="AH13" i="4" s="1"/>
  <c r="AG19" i="10" l="1"/>
  <c r="AH19" i="10" s="1"/>
  <c r="AG16" i="10"/>
  <c r="AH16" i="10" s="1"/>
  <c r="AG18" i="10"/>
  <c r="AH18" i="10" s="1"/>
  <c r="AG11" i="10"/>
  <c r="AH11" i="10" s="1"/>
  <c r="AG13" i="10"/>
  <c r="AH13" i="10" s="1"/>
  <c r="AG12" i="10"/>
  <c r="AH12" i="10" s="1"/>
  <c r="AG20" i="10"/>
  <c r="AH20" i="10" s="1"/>
  <c r="AG17" i="10"/>
  <c r="AH17" i="10" s="1"/>
  <c r="AG15" i="10"/>
  <c r="AH15" i="10" s="1"/>
  <c r="AG21" i="10"/>
  <c r="AH21" i="10" s="1"/>
  <c r="AG10" i="10"/>
  <c r="AH10" i="10" s="1"/>
  <c r="AG9" i="10"/>
  <c r="AH9" i="10" s="1"/>
  <c r="AH22" i="7"/>
  <c r="AH22" i="4"/>
  <c r="AI13" i="4" s="1"/>
  <c r="AH22" i="10" l="1"/>
  <c r="AI14" i="10" s="1"/>
  <c r="AI18" i="7"/>
  <c r="AL18" i="7" s="1"/>
  <c r="AI20" i="7"/>
  <c r="AL20" i="7" s="1"/>
  <c r="AI9" i="7"/>
  <c r="AI10" i="7"/>
  <c r="AL10" i="7" s="1"/>
  <c r="AI12" i="7"/>
  <c r="AL12" i="7" s="1"/>
  <c r="AI17" i="7"/>
  <c r="AL17" i="7" s="1"/>
  <c r="AI14" i="7"/>
  <c r="AL14" i="7" s="1"/>
  <c r="AI11" i="7"/>
  <c r="AL11" i="7" s="1"/>
  <c r="AI16" i="7"/>
  <c r="AL16" i="7" s="1"/>
  <c r="AI21" i="7"/>
  <c r="AL21" i="7" s="1"/>
  <c r="AI15" i="7"/>
  <c r="AL15" i="7" s="1"/>
  <c r="AI19" i="7"/>
  <c r="AL19" i="7" s="1"/>
  <c r="AI13" i="7"/>
  <c r="AL13" i="7" s="1"/>
  <c r="AI20" i="4"/>
  <c r="AL20" i="4" s="1"/>
  <c r="AI16" i="4"/>
  <c r="AL16" i="4" s="1"/>
  <c r="AI21" i="4"/>
  <c r="AL21" i="4" s="1"/>
  <c r="AI11" i="4"/>
  <c r="AL11" i="4" s="1"/>
  <c r="AI19" i="4"/>
  <c r="AL19" i="4" s="1"/>
  <c r="AI17" i="4"/>
  <c r="AL17" i="4" s="1"/>
  <c r="AI10" i="4"/>
  <c r="AL10" i="4" s="1"/>
  <c r="AI18" i="4"/>
  <c r="AL18" i="4" s="1"/>
  <c r="AI14" i="4"/>
  <c r="AL14" i="4" s="1"/>
  <c r="AI15" i="4"/>
  <c r="AL15" i="4" s="1"/>
  <c r="AI12" i="4"/>
  <c r="AL12" i="4" s="1"/>
  <c r="AI9" i="4"/>
  <c r="AL9" i="4" s="1"/>
  <c r="AL13" i="4"/>
  <c r="AI16" i="10" l="1"/>
  <c r="AI12" i="10"/>
  <c r="AI9" i="10"/>
  <c r="AL9" i="10" s="1"/>
  <c r="AI15" i="10"/>
  <c r="AI20" i="10"/>
  <c r="AL20" i="10" s="1"/>
  <c r="AI10" i="10"/>
  <c r="AI21" i="10"/>
  <c r="AL21" i="10" s="1"/>
  <c r="AI13" i="10"/>
  <c r="AL13" i="10" s="1"/>
  <c r="AI18" i="10"/>
  <c r="AL18" i="10" s="1"/>
  <c r="AI17" i="10"/>
  <c r="AL17" i="10" s="1"/>
  <c r="AI11" i="10"/>
  <c r="AL11" i="10" s="1"/>
  <c r="AI19" i="10"/>
  <c r="AL19" i="10" s="1"/>
  <c r="AL16" i="10"/>
  <c r="AL12" i="10"/>
  <c r="AL14" i="10"/>
  <c r="AL15" i="10"/>
  <c r="AL10" i="10"/>
  <c r="AL9" i="7"/>
  <c r="AK22" i="7" s="1"/>
  <c r="AI22" i="7"/>
  <c r="AJ22" i="7" s="1"/>
  <c r="AI22" i="4"/>
  <c r="AJ22" i="4" s="1"/>
  <c r="AK22" i="4"/>
  <c r="AI22" i="10" l="1"/>
  <c r="AJ22" i="10" s="1"/>
  <c r="AK22" i="10"/>
  <c r="AM17" i="10" s="1"/>
  <c r="AN17" i="10" s="1"/>
  <c r="AM17" i="7"/>
  <c r="AN17" i="7" s="1"/>
  <c r="AM20" i="7"/>
  <c r="AN20" i="7" s="1"/>
  <c r="AM21" i="7"/>
  <c r="AN21" i="7" s="1"/>
  <c r="AM19" i="7"/>
  <c r="AN19" i="7" s="1"/>
  <c r="AM14" i="7"/>
  <c r="AN14" i="7" s="1"/>
  <c r="AM12" i="7"/>
  <c r="AN12" i="7" s="1"/>
  <c r="AM18" i="7"/>
  <c r="AN18" i="7" s="1"/>
  <c r="AM13" i="7"/>
  <c r="AN13" i="7" s="1"/>
  <c r="AM9" i="7"/>
  <c r="AN9" i="7" s="1"/>
  <c r="AM10" i="7"/>
  <c r="AN10" i="7" s="1"/>
  <c r="AM15" i="7"/>
  <c r="AN15" i="7" s="1"/>
  <c r="AM16" i="7"/>
  <c r="AN16" i="7" s="1"/>
  <c r="AM11" i="7"/>
  <c r="AN11" i="7" s="1"/>
  <c r="AM9" i="4"/>
  <c r="AN9" i="4" s="1"/>
  <c r="AM12" i="4"/>
  <c r="AN12" i="4" s="1"/>
  <c r="AM17" i="4"/>
  <c r="AN17" i="4" s="1"/>
  <c r="AM20" i="4"/>
  <c r="AN20" i="4" s="1"/>
  <c r="AM13" i="4"/>
  <c r="AN13" i="4" s="1"/>
  <c r="AM16" i="4"/>
  <c r="AN16" i="4" s="1"/>
  <c r="AM21" i="4"/>
  <c r="AN21" i="4" s="1"/>
  <c r="AM18" i="4"/>
  <c r="AN18" i="4" s="1"/>
  <c r="AM14" i="4"/>
  <c r="AN14" i="4" s="1"/>
  <c r="AM19" i="4"/>
  <c r="AN19" i="4" s="1"/>
  <c r="AM10" i="4"/>
  <c r="AN10" i="4" s="1"/>
  <c r="AM15" i="4"/>
  <c r="AN15" i="4" s="1"/>
  <c r="AM11" i="4"/>
  <c r="AN11" i="4" s="1"/>
  <c r="AM9" i="10" l="1"/>
  <c r="AN9" i="10" s="1"/>
  <c r="AM12" i="10"/>
  <c r="AN12" i="10" s="1"/>
  <c r="AM19" i="10"/>
  <c r="AN19" i="10" s="1"/>
  <c r="AM16" i="10"/>
  <c r="AN16" i="10" s="1"/>
  <c r="AM11" i="10"/>
  <c r="AN11" i="10" s="1"/>
  <c r="AM13" i="10"/>
  <c r="AN13" i="10" s="1"/>
  <c r="AM20" i="10"/>
  <c r="AN20" i="10" s="1"/>
  <c r="AM18" i="10"/>
  <c r="AN18" i="10" s="1"/>
  <c r="AM21" i="10"/>
  <c r="AN21" i="10" s="1"/>
  <c r="AM15" i="10"/>
  <c r="AN15" i="10" s="1"/>
  <c r="AM14" i="10"/>
  <c r="AN14" i="10" s="1"/>
  <c r="AM10" i="10"/>
  <c r="AN10" i="10" s="1"/>
  <c r="AN22" i="7"/>
  <c r="AN22" i="4"/>
  <c r="AN22" i="10" l="1"/>
  <c r="AO12" i="10" s="1"/>
  <c r="AO12" i="7"/>
  <c r="AR12" i="7" s="1"/>
  <c r="AO18" i="7"/>
  <c r="AR18" i="7" s="1"/>
  <c r="AO13" i="7"/>
  <c r="AR13" i="7" s="1"/>
  <c r="AO9" i="7"/>
  <c r="AO14" i="7"/>
  <c r="AR14" i="7" s="1"/>
  <c r="AO11" i="7"/>
  <c r="AR11" i="7" s="1"/>
  <c r="AO17" i="7"/>
  <c r="AR17" i="7" s="1"/>
  <c r="AO16" i="7"/>
  <c r="AR16" i="7" s="1"/>
  <c r="AO21" i="7"/>
  <c r="AR21" i="7" s="1"/>
  <c r="AO15" i="7"/>
  <c r="AR15" i="7" s="1"/>
  <c r="AO19" i="7"/>
  <c r="AR19" i="7" s="1"/>
  <c r="AO20" i="7"/>
  <c r="AR20" i="7" s="1"/>
  <c r="AO10" i="7"/>
  <c r="AR10" i="7" s="1"/>
  <c r="AO15" i="4"/>
  <c r="AO14" i="4"/>
  <c r="AO10" i="4"/>
  <c r="AO18" i="4"/>
  <c r="AO19" i="4"/>
  <c r="AO20" i="4"/>
  <c r="AO21" i="4"/>
  <c r="AO12" i="4"/>
  <c r="AO13" i="4"/>
  <c r="AO11" i="4"/>
  <c r="AO9" i="4"/>
  <c r="AO17" i="4"/>
  <c r="AO16" i="4"/>
  <c r="AO16" i="10" l="1"/>
  <c r="AO14" i="10"/>
  <c r="AO19" i="10"/>
  <c r="AR19" i="10" s="1"/>
  <c r="AO15" i="10"/>
  <c r="AR15" i="10" s="1"/>
  <c r="AO20" i="10"/>
  <c r="AR20" i="10" s="1"/>
  <c r="AO13" i="10"/>
  <c r="AR13" i="10" s="1"/>
  <c r="AO9" i="10"/>
  <c r="AR9" i="10" s="1"/>
  <c r="AO11" i="10"/>
  <c r="AR11" i="10" s="1"/>
  <c r="AO10" i="10"/>
  <c r="AR10" i="10" s="1"/>
  <c r="AO21" i="10"/>
  <c r="AR21" i="10" s="1"/>
  <c r="AO17" i="10"/>
  <c r="AR17" i="10" s="1"/>
  <c r="AO18" i="10"/>
  <c r="AR18" i="10" s="1"/>
  <c r="AR16" i="10"/>
  <c r="AR14" i="10"/>
  <c r="AR12" i="10"/>
  <c r="AO22" i="7"/>
  <c r="AP22" i="7" s="1"/>
  <c r="AR9" i="7"/>
  <c r="AQ22" i="7" s="1"/>
  <c r="AR13" i="4"/>
  <c r="AR17" i="4"/>
  <c r="AR12" i="4"/>
  <c r="AR18" i="4"/>
  <c r="AR21" i="4"/>
  <c r="AR10" i="4"/>
  <c r="AO22" i="4"/>
  <c r="AP22" i="4" s="1"/>
  <c r="AR9" i="4"/>
  <c r="AR11" i="4"/>
  <c r="AR20" i="4"/>
  <c r="AR14" i="4"/>
  <c r="AR16" i="4"/>
  <c r="AR19" i="4"/>
  <c r="AR15" i="4"/>
  <c r="AO22" i="10" l="1"/>
  <c r="AP22" i="10" s="1"/>
  <c r="AQ22" i="10"/>
  <c r="AS21" i="10" s="1"/>
  <c r="AS20" i="7"/>
  <c r="AT20" i="7" s="1"/>
  <c r="AS21" i="7"/>
  <c r="AT21" i="7" s="1"/>
  <c r="AS10" i="7"/>
  <c r="AT10" i="7" s="1"/>
  <c r="AS15" i="7"/>
  <c r="AT15" i="7" s="1"/>
  <c r="AS9" i="7"/>
  <c r="AT9" i="7" s="1"/>
  <c r="AS11" i="7"/>
  <c r="AT11" i="7" s="1"/>
  <c r="AS14" i="7"/>
  <c r="AT14" i="7" s="1"/>
  <c r="AS12" i="7"/>
  <c r="AT12" i="7" s="1"/>
  <c r="AS13" i="7"/>
  <c r="AT13" i="7" s="1"/>
  <c r="AS18" i="7"/>
  <c r="AT18" i="7" s="1"/>
  <c r="AS16" i="7"/>
  <c r="AT16" i="7" s="1"/>
  <c r="AS19" i="7"/>
  <c r="AT19" i="7" s="1"/>
  <c r="AS17" i="7"/>
  <c r="AT17" i="7" s="1"/>
  <c r="AQ22" i="4"/>
  <c r="AT21" i="10" l="1"/>
  <c r="AS16" i="10"/>
  <c r="AT16" i="10" s="1"/>
  <c r="AS10" i="10"/>
  <c r="AT10" i="10" s="1"/>
  <c r="AS12" i="10"/>
  <c r="AT12" i="10" s="1"/>
  <c r="AS9" i="10"/>
  <c r="AT9" i="10" s="1"/>
  <c r="AS11" i="10"/>
  <c r="AT11" i="10" s="1"/>
  <c r="AS18" i="10"/>
  <c r="AT18" i="10" s="1"/>
  <c r="AS13" i="10"/>
  <c r="AT13" i="10" s="1"/>
  <c r="AS19" i="10"/>
  <c r="AT19" i="10" s="1"/>
  <c r="AS14" i="10"/>
  <c r="AT14" i="10" s="1"/>
  <c r="AS15" i="10"/>
  <c r="AT15" i="10" s="1"/>
  <c r="AS17" i="10"/>
  <c r="AT17" i="10" s="1"/>
  <c r="AS20" i="10"/>
  <c r="AT20" i="10" s="1"/>
  <c r="AT22" i="7"/>
  <c r="AS13" i="4"/>
  <c r="AT13" i="4" s="1"/>
  <c r="AS16" i="4"/>
  <c r="AT16" i="4" s="1"/>
  <c r="AS21" i="4"/>
  <c r="AT21" i="4" s="1"/>
  <c r="AS9" i="4"/>
  <c r="AT9" i="4" s="1"/>
  <c r="AS12" i="4"/>
  <c r="AT12" i="4" s="1"/>
  <c r="AS17" i="4"/>
  <c r="AT17" i="4" s="1"/>
  <c r="AS20" i="4"/>
  <c r="AT20" i="4" s="1"/>
  <c r="AS11" i="4"/>
  <c r="AT11" i="4" s="1"/>
  <c r="AS18" i="4"/>
  <c r="AT18" i="4" s="1"/>
  <c r="AS14" i="4"/>
  <c r="AT14" i="4" s="1"/>
  <c r="AS19" i="4"/>
  <c r="AT19" i="4" s="1"/>
  <c r="AS10" i="4"/>
  <c r="AT10" i="4" s="1"/>
  <c r="AS15" i="4"/>
  <c r="AT15" i="4" s="1"/>
  <c r="AT22" i="10" l="1"/>
  <c r="AU15" i="10" s="1"/>
  <c r="AX15" i="10" s="1"/>
  <c r="AU11" i="7"/>
  <c r="AX11" i="7" s="1"/>
  <c r="AU19" i="7"/>
  <c r="AX19" i="7" s="1"/>
  <c r="AU12" i="7"/>
  <c r="AX12" i="7" s="1"/>
  <c r="AU17" i="7"/>
  <c r="AX17" i="7" s="1"/>
  <c r="AU9" i="7"/>
  <c r="AU21" i="7"/>
  <c r="AX21" i="7" s="1"/>
  <c r="AU16" i="7"/>
  <c r="AX16" i="7" s="1"/>
  <c r="AU18" i="7"/>
  <c r="AX18" i="7" s="1"/>
  <c r="AU10" i="7"/>
  <c r="AX10" i="7" s="1"/>
  <c r="AU13" i="7"/>
  <c r="AX13" i="7" s="1"/>
  <c r="AU20" i="7"/>
  <c r="AX20" i="7" s="1"/>
  <c r="AU14" i="7"/>
  <c r="AX14" i="7" s="1"/>
  <c r="AU15" i="7"/>
  <c r="AX15" i="7" s="1"/>
  <c r="AT22" i="4"/>
  <c r="AU17" i="10" l="1"/>
  <c r="AU10" i="10"/>
  <c r="AU9" i="10"/>
  <c r="AX9" i="10" s="1"/>
  <c r="AU21" i="10"/>
  <c r="AX21" i="10" s="1"/>
  <c r="AU14" i="10"/>
  <c r="AX14" i="10" s="1"/>
  <c r="AU13" i="10"/>
  <c r="AX13" i="10" s="1"/>
  <c r="AU18" i="10"/>
  <c r="AX18" i="10" s="1"/>
  <c r="AU16" i="10"/>
  <c r="AX16" i="10" s="1"/>
  <c r="AU19" i="10"/>
  <c r="AX19" i="10" s="1"/>
  <c r="AU20" i="10"/>
  <c r="AX20" i="10" s="1"/>
  <c r="AU11" i="10"/>
  <c r="AX11" i="10" s="1"/>
  <c r="AU12" i="10"/>
  <c r="AX12" i="10" s="1"/>
  <c r="AX17" i="10"/>
  <c r="AX10" i="10"/>
  <c r="AX9" i="7"/>
  <c r="AW22" i="7" s="1"/>
  <c r="AU22" i="7"/>
  <c r="AV22" i="7" s="1"/>
  <c r="AU11" i="4"/>
  <c r="AU9" i="4"/>
  <c r="AU10" i="4"/>
  <c r="AU15" i="4"/>
  <c r="AU14" i="4"/>
  <c r="AU19" i="4"/>
  <c r="AU12" i="4"/>
  <c r="AU16" i="4"/>
  <c r="AU18" i="4"/>
  <c r="AU13" i="4"/>
  <c r="AU20" i="4"/>
  <c r="AU17" i="4"/>
  <c r="AU21" i="4"/>
  <c r="AU22" i="10" l="1"/>
  <c r="AV22" i="10" s="1"/>
  <c r="AW22" i="10"/>
  <c r="AY20" i="10" s="1"/>
  <c r="AZ20" i="10" s="1"/>
  <c r="AY20" i="7"/>
  <c r="AZ20" i="7" s="1"/>
  <c r="AY11" i="7"/>
  <c r="AZ11" i="7" s="1"/>
  <c r="AY17" i="7"/>
  <c r="AZ17" i="7" s="1"/>
  <c r="AY12" i="7"/>
  <c r="AZ12" i="7" s="1"/>
  <c r="AY13" i="7"/>
  <c r="AZ13" i="7" s="1"/>
  <c r="AY15" i="7"/>
  <c r="AZ15" i="7" s="1"/>
  <c r="AY16" i="7"/>
  <c r="AZ16" i="7" s="1"/>
  <c r="AY19" i="7"/>
  <c r="AZ19" i="7" s="1"/>
  <c r="AY18" i="7"/>
  <c r="AZ18" i="7" s="1"/>
  <c r="AY21" i="7"/>
  <c r="AZ21" i="7" s="1"/>
  <c r="AY9" i="7"/>
  <c r="AZ9" i="7" s="1"/>
  <c r="AY10" i="7"/>
  <c r="AZ10" i="7" s="1"/>
  <c r="AY14" i="7"/>
  <c r="AZ14" i="7" s="1"/>
  <c r="AX17" i="4"/>
  <c r="AX16" i="4"/>
  <c r="AX15" i="4"/>
  <c r="AX20" i="4"/>
  <c r="AX12" i="4"/>
  <c r="AX10" i="4"/>
  <c r="AX13" i="4"/>
  <c r="AX19" i="4"/>
  <c r="AU22" i="4"/>
  <c r="AV22" i="4" s="1"/>
  <c r="AX9" i="4"/>
  <c r="AX21" i="4"/>
  <c r="AX18" i="4"/>
  <c r="AX14" i="4"/>
  <c r="AX11" i="4"/>
  <c r="AY21" i="10" l="1"/>
  <c r="AZ21" i="10" s="1"/>
  <c r="AY15" i="10"/>
  <c r="AZ15" i="10" s="1"/>
  <c r="AY16" i="10"/>
  <c r="AZ16" i="10" s="1"/>
  <c r="AY13" i="10"/>
  <c r="AZ13" i="10" s="1"/>
  <c r="AY14" i="10"/>
  <c r="AZ14" i="10" s="1"/>
  <c r="AY12" i="10"/>
  <c r="AZ12" i="10" s="1"/>
  <c r="AY11" i="10"/>
  <c r="AZ11" i="10" s="1"/>
  <c r="AY19" i="10"/>
  <c r="AZ19" i="10" s="1"/>
  <c r="AY18" i="10"/>
  <c r="AZ18" i="10" s="1"/>
  <c r="AY17" i="10"/>
  <c r="AZ17" i="10" s="1"/>
  <c r="AY10" i="10"/>
  <c r="AZ10" i="10" s="1"/>
  <c r="AY9" i="10"/>
  <c r="AZ9" i="10" s="1"/>
  <c r="AZ22" i="7"/>
  <c r="AW22" i="4"/>
  <c r="AZ22" i="10" l="1"/>
  <c r="BA18" i="10" s="1"/>
  <c r="BD18" i="10" s="1"/>
  <c r="BA16" i="7"/>
  <c r="BD16" i="7" s="1"/>
  <c r="BA18" i="7"/>
  <c r="BD18" i="7" s="1"/>
  <c r="BA15" i="7"/>
  <c r="BD15" i="7" s="1"/>
  <c r="BA9" i="7"/>
  <c r="BA12" i="7"/>
  <c r="BD12" i="7" s="1"/>
  <c r="BA13" i="7"/>
  <c r="BD13" i="7" s="1"/>
  <c r="BA14" i="7"/>
  <c r="BD14" i="7" s="1"/>
  <c r="BA10" i="7"/>
  <c r="BD10" i="7" s="1"/>
  <c r="BA20" i="7"/>
  <c r="BD20" i="7" s="1"/>
  <c r="BA21" i="7"/>
  <c r="BD21" i="7" s="1"/>
  <c r="BA19" i="7"/>
  <c r="BD19" i="7" s="1"/>
  <c r="BA11" i="7"/>
  <c r="BD11" i="7" s="1"/>
  <c r="BA17" i="7"/>
  <c r="BD17" i="7" s="1"/>
  <c r="AY10" i="4"/>
  <c r="AZ10" i="4" s="1"/>
  <c r="AY12" i="4"/>
  <c r="AZ12" i="4" s="1"/>
  <c r="AY14" i="4"/>
  <c r="AZ14" i="4" s="1"/>
  <c r="AY16" i="4"/>
  <c r="AZ16" i="4" s="1"/>
  <c r="AY18" i="4"/>
  <c r="AZ18" i="4" s="1"/>
  <c r="AY20" i="4"/>
  <c r="AZ20" i="4" s="1"/>
  <c r="AY9" i="4"/>
  <c r="AZ9" i="4" s="1"/>
  <c r="AY11" i="4"/>
  <c r="AZ11" i="4" s="1"/>
  <c r="AY13" i="4"/>
  <c r="AZ13" i="4" s="1"/>
  <c r="AY15" i="4"/>
  <c r="AZ15" i="4" s="1"/>
  <c r="AY17" i="4"/>
  <c r="AZ17" i="4" s="1"/>
  <c r="AY19" i="4"/>
  <c r="AZ19" i="4" s="1"/>
  <c r="AY21" i="4"/>
  <c r="AZ21" i="4" s="1"/>
  <c r="BA19" i="10" l="1"/>
  <c r="BD19" i="10" s="1"/>
  <c r="BA11" i="10"/>
  <c r="BD11" i="10" s="1"/>
  <c r="BA17" i="10"/>
  <c r="BD17" i="10" s="1"/>
  <c r="BA15" i="10"/>
  <c r="BD15" i="10" s="1"/>
  <c r="BA20" i="10"/>
  <c r="BD20" i="10" s="1"/>
  <c r="BA9" i="10"/>
  <c r="BD9" i="10" s="1"/>
  <c r="BA12" i="10"/>
  <c r="BD12" i="10" s="1"/>
  <c r="BA14" i="10"/>
  <c r="BD14" i="10" s="1"/>
  <c r="BA10" i="10"/>
  <c r="BD10" i="10" s="1"/>
  <c r="BA13" i="10"/>
  <c r="BD13" i="10" s="1"/>
  <c r="BA16" i="10"/>
  <c r="BD16" i="10" s="1"/>
  <c r="BA21" i="10"/>
  <c r="BD21" i="10" s="1"/>
  <c r="BD9" i="7"/>
  <c r="BC22" i="7" s="1"/>
  <c r="BA22" i="7"/>
  <c r="BB22" i="7" s="1"/>
  <c r="AZ22" i="4"/>
  <c r="BA22" i="10" l="1"/>
  <c r="BB22" i="10" s="1"/>
  <c r="BC22" i="10"/>
  <c r="BE17" i="10" s="1"/>
  <c r="BF17" i="10" s="1"/>
  <c r="BE18" i="7"/>
  <c r="BF18" i="7" s="1"/>
  <c r="BE13" i="7"/>
  <c r="BF13" i="7" s="1"/>
  <c r="BE12" i="7"/>
  <c r="BF12" i="7" s="1"/>
  <c r="BE11" i="7"/>
  <c r="BF11" i="7" s="1"/>
  <c r="BE17" i="7"/>
  <c r="BF17" i="7" s="1"/>
  <c r="BE16" i="7"/>
  <c r="BF16" i="7" s="1"/>
  <c r="BE15" i="7"/>
  <c r="BF15" i="7" s="1"/>
  <c r="BE20" i="7"/>
  <c r="BF20" i="7" s="1"/>
  <c r="BE21" i="7"/>
  <c r="BF21" i="7" s="1"/>
  <c r="BE10" i="7"/>
  <c r="BF10" i="7" s="1"/>
  <c r="BE9" i="7"/>
  <c r="BF9" i="7" s="1"/>
  <c r="BE14" i="7"/>
  <c r="BF14" i="7" s="1"/>
  <c r="BE19" i="7"/>
  <c r="BF19" i="7" s="1"/>
  <c r="BA12" i="4"/>
  <c r="BA14" i="4"/>
  <c r="BA11" i="4"/>
  <c r="BA15" i="4"/>
  <c r="BA18" i="4"/>
  <c r="BA16" i="4"/>
  <c r="BA19" i="4"/>
  <c r="BA20" i="4"/>
  <c r="BA9" i="4"/>
  <c r="BA13" i="4"/>
  <c r="BA10" i="4"/>
  <c r="BA17" i="4"/>
  <c r="BA21" i="4"/>
  <c r="BE11" i="10" l="1"/>
  <c r="BF11" i="10" s="1"/>
  <c r="BE9" i="10"/>
  <c r="BF9" i="10" s="1"/>
  <c r="BE19" i="10"/>
  <c r="BF19" i="10" s="1"/>
  <c r="BE15" i="10"/>
  <c r="BF15" i="10" s="1"/>
  <c r="BE12" i="10"/>
  <c r="BF12" i="10" s="1"/>
  <c r="BE21" i="10"/>
  <c r="BF21" i="10" s="1"/>
  <c r="BE13" i="10"/>
  <c r="BF13" i="10" s="1"/>
  <c r="BE16" i="10"/>
  <c r="BF16" i="10" s="1"/>
  <c r="BE20" i="10"/>
  <c r="BF20" i="10" s="1"/>
  <c r="BE10" i="10"/>
  <c r="BF10" i="10" s="1"/>
  <c r="BE14" i="10"/>
  <c r="BF14" i="10" s="1"/>
  <c r="BE18" i="10"/>
  <c r="BF18" i="10" s="1"/>
  <c r="BF22" i="7"/>
  <c r="BD10" i="4"/>
  <c r="BD17" i="4"/>
  <c r="BD20" i="4"/>
  <c r="BD15" i="4"/>
  <c r="BD19" i="4"/>
  <c r="BD11" i="4"/>
  <c r="BD13" i="4"/>
  <c r="BD16" i="4"/>
  <c r="BD14" i="4"/>
  <c r="BD21" i="4"/>
  <c r="BA22" i="4"/>
  <c r="BB22" i="4" s="1"/>
  <c r="BD9" i="4"/>
  <c r="BD18" i="4"/>
  <c r="BD12" i="4"/>
  <c r="BF22" i="10" l="1"/>
  <c r="BG21" i="10" s="1"/>
  <c r="BJ21" i="10" s="1"/>
  <c r="BG9" i="7"/>
  <c r="BG16" i="7"/>
  <c r="BJ16" i="7" s="1"/>
  <c r="BG15" i="7"/>
  <c r="BJ15" i="7" s="1"/>
  <c r="BG14" i="7"/>
  <c r="BJ14" i="7" s="1"/>
  <c r="BG13" i="7"/>
  <c r="BJ13" i="7" s="1"/>
  <c r="BG21" i="7"/>
  <c r="BJ21" i="7" s="1"/>
  <c r="BG19" i="7"/>
  <c r="BJ19" i="7" s="1"/>
  <c r="BG20" i="7"/>
  <c r="BJ20" i="7" s="1"/>
  <c r="BG17" i="7"/>
  <c r="BJ17" i="7" s="1"/>
  <c r="BG11" i="7"/>
  <c r="BJ11" i="7" s="1"/>
  <c r="BG18" i="7"/>
  <c r="BJ18" i="7" s="1"/>
  <c r="BG12" i="7"/>
  <c r="BJ12" i="7" s="1"/>
  <c r="BG10" i="7"/>
  <c r="BJ10" i="7" s="1"/>
  <c r="BC22" i="4"/>
  <c r="BG16" i="10" l="1"/>
  <c r="BG17" i="10"/>
  <c r="BJ17" i="10" s="1"/>
  <c r="BG18" i="10"/>
  <c r="BJ18" i="10" s="1"/>
  <c r="BG19" i="10"/>
  <c r="BJ19" i="10" s="1"/>
  <c r="BG12" i="10"/>
  <c r="BJ12" i="10" s="1"/>
  <c r="BG11" i="10"/>
  <c r="BG14" i="10"/>
  <c r="BJ14" i="10" s="1"/>
  <c r="BG15" i="10"/>
  <c r="BJ15" i="10" s="1"/>
  <c r="BG20" i="10"/>
  <c r="BJ20" i="10" s="1"/>
  <c r="BG13" i="10"/>
  <c r="BJ13" i="10" s="1"/>
  <c r="BG9" i="10"/>
  <c r="BJ9" i="10" s="1"/>
  <c r="BG10" i="10"/>
  <c r="BJ10" i="10" s="1"/>
  <c r="BJ16" i="10"/>
  <c r="BJ11" i="10"/>
  <c r="BJ9" i="7"/>
  <c r="BI22" i="7" s="1"/>
  <c r="BG22" i="7"/>
  <c r="BH22" i="7" s="1"/>
  <c r="BE10" i="4"/>
  <c r="BF10" i="4" s="1"/>
  <c r="BE9" i="4"/>
  <c r="BF9" i="4" s="1"/>
  <c r="BE11" i="4"/>
  <c r="BF11" i="4" s="1"/>
  <c r="BE13" i="4"/>
  <c r="BF13" i="4" s="1"/>
  <c r="BE15" i="4"/>
  <c r="BF15" i="4" s="1"/>
  <c r="BE17" i="4"/>
  <c r="BF17" i="4" s="1"/>
  <c r="BE19" i="4"/>
  <c r="BF19" i="4" s="1"/>
  <c r="BE21" i="4"/>
  <c r="BF21" i="4" s="1"/>
  <c r="BE12" i="4"/>
  <c r="BF12" i="4" s="1"/>
  <c r="BE14" i="4"/>
  <c r="BF14" i="4" s="1"/>
  <c r="BE16" i="4"/>
  <c r="BF16" i="4" s="1"/>
  <c r="BE18" i="4"/>
  <c r="BF18" i="4" s="1"/>
  <c r="BE20" i="4"/>
  <c r="BF20" i="4" s="1"/>
  <c r="BG22" i="10" l="1"/>
  <c r="BH22" i="10" s="1"/>
  <c r="BI22" i="10"/>
  <c r="BK18" i="10" s="1"/>
  <c r="BL18" i="10" s="1"/>
  <c r="BK9" i="7"/>
  <c r="BL9" i="7" s="1"/>
  <c r="BK20" i="7"/>
  <c r="BL20" i="7" s="1"/>
  <c r="BK14" i="7"/>
  <c r="BL14" i="7" s="1"/>
  <c r="BK17" i="7"/>
  <c r="BL17" i="7" s="1"/>
  <c r="BK19" i="7"/>
  <c r="BL19" i="7" s="1"/>
  <c r="BK13" i="7"/>
  <c r="BL13" i="7" s="1"/>
  <c r="BK11" i="7"/>
  <c r="BL11" i="7" s="1"/>
  <c r="BK21" i="7"/>
  <c r="BL21" i="7" s="1"/>
  <c r="BK16" i="7"/>
  <c r="BL16" i="7" s="1"/>
  <c r="BK12" i="7"/>
  <c r="BL12" i="7" s="1"/>
  <c r="BK10" i="7"/>
  <c r="BL10" i="7" s="1"/>
  <c r="BK18" i="7"/>
  <c r="BL18" i="7" s="1"/>
  <c r="BK15" i="7"/>
  <c r="BL15" i="7" s="1"/>
  <c r="BF22" i="4"/>
  <c r="BK17" i="10" l="1"/>
  <c r="BL17" i="10" s="1"/>
  <c r="BK12" i="10"/>
  <c r="BL12" i="10" s="1"/>
  <c r="BK20" i="10"/>
  <c r="BL20" i="10" s="1"/>
  <c r="BK15" i="10"/>
  <c r="BL15" i="10" s="1"/>
  <c r="BK9" i="10"/>
  <c r="BL9" i="10" s="1"/>
  <c r="BK16" i="10"/>
  <c r="BL16" i="10" s="1"/>
  <c r="BK10" i="10"/>
  <c r="BL10" i="10" s="1"/>
  <c r="BK13" i="10"/>
  <c r="BL13" i="10" s="1"/>
  <c r="BK19" i="10"/>
  <c r="BL19" i="10" s="1"/>
  <c r="BK14" i="10"/>
  <c r="BL14" i="10" s="1"/>
  <c r="BK11" i="10"/>
  <c r="BL11" i="10" s="1"/>
  <c r="BK21" i="10"/>
  <c r="BL21" i="10" s="1"/>
  <c r="BL22" i="7"/>
  <c r="BG9" i="4"/>
  <c r="BG10" i="4"/>
  <c r="BG16" i="4"/>
  <c r="BG14" i="4"/>
  <c r="BG20" i="4"/>
  <c r="BG13" i="4"/>
  <c r="BG11" i="4"/>
  <c r="BG17" i="4"/>
  <c r="BG18" i="4"/>
  <c r="BG15" i="4"/>
  <c r="BG21" i="4"/>
  <c r="BG12" i="4"/>
  <c r="BG19" i="4"/>
  <c r="BL22" i="10" l="1"/>
  <c r="BM21" i="10" s="1"/>
  <c r="BP21" i="10" s="1"/>
  <c r="BM16" i="7"/>
  <c r="BP16" i="7" s="1"/>
  <c r="BM20" i="7"/>
  <c r="BP20" i="7" s="1"/>
  <c r="BM14" i="7"/>
  <c r="BP14" i="7" s="1"/>
  <c r="BM18" i="7"/>
  <c r="BP18" i="7" s="1"/>
  <c r="BM12" i="7"/>
  <c r="BP12" i="7" s="1"/>
  <c r="BM15" i="7"/>
  <c r="BP15" i="7" s="1"/>
  <c r="BM11" i="7"/>
  <c r="BP11" i="7" s="1"/>
  <c r="BM13" i="7"/>
  <c r="BP13" i="7" s="1"/>
  <c r="BM21" i="7"/>
  <c r="BP21" i="7" s="1"/>
  <c r="BM17" i="7"/>
  <c r="BP17" i="7" s="1"/>
  <c r="BM10" i="7"/>
  <c r="BP10" i="7" s="1"/>
  <c r="BM9" i="7"/>
  <c r="BM19" i="7"/>
  <c r="BP19" i="7" s="1"/>
  <c r="BJ12" i="4"/>
  <c r="BJ17" i="4"/>
  <c r="BJ14" i="4"/>
  <c r="BJ11" i="4"/>
  <c r="BJ16" i="4"/>
  <c r="BJ21" i="4"/>
  <c r="BJ15" i="4"/>
  <c r="BJ13" i="4"/>
  <c r="BJ10" i="4"/>
  <c r="BJ19" i="4"/>
  <c r="BJ18" i="4"/>
  <c r="BJ20" i="4"/>
  <c r="BG22" i="4"/>
  <c r="BH22" i="4" s="1"/>
  <c r="BJ9" i="4"/>
  <c r="BM20" i="10" l="1"/>
  <c r="BP20" i="10" s="1"/>
  <c r="BM16" i="10"/>
  <c r="BM13" i="10"/>
  <c r="BP13" i="10" s="1"/>
  <c r="BM15" i="10"/>
  <c r="BP15" i="10" s="1"/>
  <c r="BM17" i="10"/>
  <c r="BP17" i="10" s="1"/>
  <c r="BM9" i="10"/>
  <c r="BP9" i="10" s="1"/>
  <c r="BM12" i="10"/>
  <c r="BP12" i="10" s="1"/>
  <c r="BM11" i="10"/>
  <c r="BP11" i="10" s="1"/>
  <c r="BM19" i="10"/>
  <c r="BP19" i="10" s="1"/>
  <c r="BM14" i="10"/>
  <c r="BP14" i="10" s="1"/>
  <c r="BM18" i="10"/>
  <c r="BP18" i="10" s="1"/>
  <c r="BM10" i="10"/>
  <c r="BP10" i="10" s="1"/>
  <c r="BP16" i="10"/>
  <c r="BM22" i="7"/>
  <c r="BN22" i="7" s="1"/>
  <c r="BP9" i="7"/>
  <c r="BO22" i="7" s="1"/>
  <c r="BQ21" i="7" s="1"/>
  <c r="BR21" i="7" s="1"/>
  <c r="BI22" i="4"/>
  <c r="BK13" i="4" s="1"/>
  <c r="BL13" i="4" s="1"/>
  <c r="BM22" i="10" l="1"/>
  <c r="BN22" i="10" s="1"/>
  <c r="BO22" i="10"/>
  <c r="BQ17" i="10" s="1"/>
  <c r="BR17" i="10" s="1"/>
  <c r="BQ17" i="7"/>
  <c r="BR17" i="7" s="1"/>
  <c r="BQ15" i="7"/>
  <c r="BR15" i="7" s="1"/>
  <c r="BQ9" i="7"/>
  <c r="BR9" i="7" s="1"/>
  <c r="BQ13" i="7"/>
  <c r="BR13" i="7" s="1"/>
  <c r="BQ19" i="7"/>
  <c r="BR19" i="7" s="1"/>
  <c r="BQ10" i="7"/>
  <c r="BR10" i="7" s="1"/>
  <c r="BQ14" i="7"/>
  <c r="BR14" i="7" s="1"/>
  <c r="BQ18" i="7"/>
  <c r="BR18" i="7" s="1"/>
  <c r="BQ20" i="7"/>
  <c r="BR20" i="7" s="1"/>
  <c r="BQ11" i="7"/>
  <c r="BR11" i="7" s="1"/>
  <c r="BQ12" i="7"/>
  <c r="BR12" i="7" s="1"/>
  <c r="BQ16" i="7"/>
  <c r="BR16" i="7" s="1"/>
  <c r="BK14" i="4"/>
  <c r="BL14" i="4" s="1"/>
  <c r="BK11" i="4"/>
  <c r="BL11" i="4" s="1"/>
  <c r="BK20" i="4"/>
  <c r="BL20" i="4" s="1"/>
  <c r="BK12" i="4"/>
  <c r="BL12" i="4" s="1"/>
  <c r="BK17" i="4"/>
  <c r="BL17" i="4" s="1"/>
  <c r="BK9" i="4"/>
  <c r="BL9" i="4" s="1"/>
  <c r="BK18" i="4"/>
  <c r="BL18" i="4" s="1"/>
  <c r="BK15" i="4"/>
  <c r="BL15" i="4" s="1"/>
  <c r="BK19" i="4"/>
  <c r="BL19" i="4" s="1"/>
  <c r="BK10" i="4"/>
  <c r="BL10" i="4" s="1"/>
  <c r="BK16" i="4"/>
  <c r="BL16" i="4" s="1"/>
  <c r="BK21" i="4"/>
  <c r="BL21" i="4" s="1"/>
  <c r="BQ14" i="10" l="1"/>
  <c r="BR14" i="10" s="1"/>
  <c r="BQ16" i="10"/>
  <c r="BR16" i="10" s="1"/>
  <c r="BQ13" i="10"/>
  <c r="BR13" i="10" s="1"/>
  <c r="BQ19" i="10"/>
  <c r="BR19" i="10" s="1"/>
  <c r="BQ18" i="10"/>
  <c r="BR18" i="10" s="1"/>
  <c r="BQ9" i="10"/>
  <c r="BR9" i="10" s="1"/>
  <c r="BQ20" i="10"/>
  <c r="BR20" i="10" s="1"/>
  <c r="BQ21" i="10"/>
  <c r="BR21" i="10" s="1"/>
  <c r="BQ12" i="10"/>
  <c r="BR12" i="10" s="1"/>
  <c r="BQ11" i="10"/>
  <c r="BR11" i="10" s="1"/>
  <c r="BQ10" i="10"/>
  <c r="BR10" i="10" s="1"/>
  <c r="BQ15" i="10"/>
  <c r="BR15" i="10" s="1"/>
  <c r="BR22" i="7"/>
  <c r="BS10" i="7" s="1"/>
  <c r="BL22" i="4"/>
  <c r="BM16" i="4" s="1"/>
  <c r="BR22" i="10" l="1"/>
  <c r="BS10" i="10" s="1"/>
  <c r="BV10" i="10" s="1"/>
  <c r="BS11" i="7"/>
  <c r="BS9" i="7"/>
  <c r="BS12" i="7"/>
  <c r="BV12" i="7" s="1"/>
  <c r="BS17" i="7"/>
  <c r="BV17" i="7" s="1"/>
  <c r="BS19" i="7"/>
  <c r="BV19" i="7" s="1"/>
  <c r="BS14" i="7"/>
  <c r="BV14" i="7" s="1"/>
  <c r="BS16" i="7"/>
  <c r="BV16" i="7" s="1"/>
  <c r="BS20" i="7"/>
  <c r="BV20" i="7" s="1"/>
  <c r="BS21" i="7"/>
  <c r="BV21" i="7" s="1"/>
  <c r="BS18" i="7"/>
  <c r="BV18" i="7" s="1"/>
  <c r="BS15" i="7"/>
  <c r="BS13" i="7"/>
  <c r="BV13" i="7" s="1"/>
  <c r="BM12" i="4"/>
  <c r="BP12" i="4" s="1"/>
  <c r="BM13" i="4"/>
  <c r="BP13" i="4" s="1"/>
  <c r="BM11" i="4"/>
  <c r="BP11" i="4" s="1"/>
  <c r="BM19" i="4"/>
  <c r="BP19" i="4" s="1"/>
  <c r="BM18" i="4"/>
  <c r="BP18" i="4" s="1"/>
  <c r="BM15" i="4"/>
  <c r="BP15" i="4" s="1"/>
  <c r="BM10" i="4"/>
  <c r="BP10" i="4" s="1"/>
  <c r="BM17" i="4"/>
  <c r="BP17" i="4" s="1"/>
  <c r="BM14" i="4"/>
  <c r="BP14" i="4" s="1"/>
  <c r="BM21" i="4"/>
  <c r="BP21" i="4" s="1"/>
  <c r="BM9" i="4"/>
  <c r="BM20" i="4"/>
  <c r="BP20" i="4" s="1"/>
  <c r="BV11" i="7"/>
  <c r="BV9" i="7"/>
  <c r="BV10" i="7"/>
  <c r="BP16" i="4"/>
  <c r="BS13" i="10" l="1"/>
  <c r="BS20" i="10"/>
  <c r="BS15" i="10"/>
  <c r="BV15" i="10" s="1"/>
  <c r="BS12" i="10"/>
  <c r="BV12" i="10" s="1"/>
  <c r="BS11" i="10"/>
  <c r="BV11" i="10" s="1"/>
  <c r="BS16" i="10"/>
  <c r="BV16" i="10" s="1"/>
  <c r="BS9" i="10"/>
  <c r="BV9" i="10" s="1"/>
  <c r="BS19" i="10"/>
  <c r="BV19" i="10" s="1"/>
  <c r="BS14" i="10"/>
  <c r="BV14" i="10" s="1"/>
  <c r="BS17" i="10"/>
  <c r="BV17" i="10" s="1"/>
  <c r="BS18" i="10"/>
  <c r="BV18" i="10" s="1"/>
  <c r="BS21" i="10"/>
  <c r="BV21" i="10" s="1"/>
  <c r="BV13" i="10"/>
  <c r="BV20" i="10"/>
  <c r="BS22" i="7"/>
  <c r="BT22" i="7" s="1"/>
  <c r="BV15" i="7"/>
  <c r="BU22" i="7" s="1"/>
  <c r="BM22" i="4"/>
  <c r="BN22" i="4" s="1"/>
  <c r="BP9" i="4"/>
  <c r="BO22" i="4" s="1"/>
  <c r="BS22" i="10" l="1"/>
  <c r="BT22" i="10" s="1"/>
  <c r="BU22" i="10"/>
  <c r="BW21" i="10" s="1"/>
  <c r="BX21" i="10" s="1"/>
  <c r="BW21" i="7"/>
  <c r="BX21" i="7" s="1"/>
  <c r="BW20" i="7"/>
  <c r="BX20" i="7" s="1"/>
  <c r="BW18" i="7"/>
  <c r="BX18" i="7" s="1"/>
  <c r="BW19" i="7"/>
  <c r="BX19" i="7" s="1"/>
  <c r="BW16" i="7"/>
  <c r="BX16" i="7" s="1"/>
  <c r="BW15" i="7"/>
  <c r="BX15" i="7" s="1"/>
  <c r="BW14" i="7"/>
  <c r="BX14" i="7" s="1"/>
  <c r="BW13" i="7"/>
  <c r="BX13" i="7" s="1"/>
  <c r="BW12" i="7"/>
  <c r="BX12" i="7" s="1"/>
  <c r="BW17" i="7"/>
  <c r="BX17" i="7" s="1"/>
  <c r="BW11" i="7"/>
  <c r="BX11" i="7" s="1"/>
  <c r="BW10" i="7"/>
  <c r="BX10" i="7" s="1"/>
  <c r="BW9" i="7"/>
  <c r="BX9" i="7" s="1"/>
  <c r="BQ9" i="4"/>
  <c r="BR9" i="4" s="1"/>
  <c r="BQ11" i="4"/>
  <c r="BR11" i="4" s="1"/>
  <c r="BQ13" i="4"/>
  <c r="BR13" i="4" s="1"/>
  <c r="BQ15" i="4"/>
  <c r="BR15" i="4" s="1"/>
  <c r="BQ17" i="4"/>
  <c r="BR17" i="4" s="1"/>
  <c r="BQ19" i="4"/>
  <c r="BR19" i="4" s="1"/>
  <c r="BQ21" i="4"/>
  <c r="BR21" i="4" s="1"/>
  <c r="BQ10" i="4"/>
  <c r="BR10" i="4" s="1"/>
  <c r="BQ12" i="4"/>
  <c r="BR12" i="4" s="1"/>
  <c r="BQ14" i="4"/>
  <c r="BR14" i="4" s="1"/>
  <c r="BQ16" i="4"/>
  <c r="BR16" i="4" s="1"/>
  <c r="BQ18" i="4"/>
  <c r="BR18" i="4" s="1"/>
  <c r="BQ20" i="4"/>
  <c r="BR20" i="4" s="1"/>
  <c r="BW14" i="10" l="1"/>
  <c r="BX14" i="10" s="1"/>
  <c r="BW13" i="10"/>
  <c r="BX13" i="10" s="1"/>
  <c r="BW17" i="10"/>
  <c r="BX17" i="10" s="1"/>
  <c r="BW12" i="10"/>
  <c r="BX12" i="10" s="1"/>
  <c r="BW11" i="10"/>
  <c r="BX11" i="10" s="1"/>
  <c r="BW15" i="10"/>
  <c r="BX15" i="10" s="1"/>
  <c r="BW20" i="10"/>
  <c r="BX20" i="10" s="1"/>
  <c r="BW16" i="10"/>
  <c r="BX16" i="10" s="1"/>
  <c r="BW9" i="10"/>
  <c r="BX9" i="10" s="1"/>
  <c r="BW18" i="10"/>
  <c r="BX18" i="10" s="1"/>
  <c r="BW10" i="10"/>
  <c r="BX10" i="10" s="1"/>
  <c r="BW19" i="10"/>
  <c r="BX19" i="10" s="1"/>
  <c r="BX22" i="7"/>
  <c r="BR22" i="4"/>
  <c r="BX22" i="10" l="1"/>
  <c r="BY21" i="10" s="1"/>
  <c r="CB21" i="10" s="1"/>
  <c r="BY18" i="7"/>
  <c r="BY13" i="7"/>
  <c r="BY17" i="7"/>
  <c r="BY16" i="7"/>
  <c r="BY12" i="7"/>
  <c r="BY11" i="7"/>
  <c r="BY21" i="7"/>
  <c r="BY20" i="7"/>
  <c r="BY15" i="7"/>
  <c r="BY10" i="7"/>
  <c r="BY19" i="7"/>
  <c r="BY14" i="7"/>
  <c r="BY9" i="7"/>
  <c r="BS10" i="4"/>
  <c r="BS16" i="4"/>
  <c r="BS15" i="4"/>
  <c r="BS11" i="4"/>
  <c r="BS20" i="4"/>
  <c r="BS19" i="4"/>
  <c r="BS14" i="4"/>
  <c r="BS9" i="4"/>
  <c r="BS18" i="4"/>
  <c r="BS13" i="4"/>
  <c r="BS17" i="4"/>
  <c r="BS12" i="4"/>
  <c r="BS21" i="4"/>
  <c r="BY14" i="10" l="1"/>
  <c r="BY9" i="10"/>
  <c r="CB9" i="10" s="1"/>
  <c r="BY13" i="10"/>
  <c r="CB13" i="10" s="1"/>
  <c r="BY17" i="10"/>
  <c r="CB17" i="10" s="1"/>
  <c r="BY19" i="10"/>
  <c r="CB19" i="10" s="1"/>
  <c r="BY16" i="10"/>
  <c r="CB16" i="10" s="1"/>
  <c r="BY10" i="10"/>
  <c r="CB10" i="10" s="1"/>
  <c r="BY12" i="10"/>
  <c r="CB12" i="10" s="1"/>
  <c r="BY11" i="10"/>
  <c r="CB11" i="10" s="1"/>
  <c r="BY18" i="10"/>
  <c r="CB18" i="10" s="1"/>
  <c r="BY20" i="10"/>
  <c r="CB20" i="10" s="1"/>
  <c r="BY15" i="10"/>
  <c r="CB15" i="10" s="1"/>
  <c r="CB14" i="10"/>
  <c r="CB14" i="7"/>
  <c r="CB20" i="7"/>
  <c r="CB16" i="7"/>
  <c r="CB21" i="7"/>
  <c r="CB17" i="7"/>
  <c r="CB19" i="7"/>
  <c r="CB10" i="7"/>
  <c r="CB11" i="7"/>
  <c r="CB13" i="7"/>
  <c r="BY22" i="7"/>
  <c r="BZ22" i="7" s="1"/>
  <c r="CB9" i="7"/>
  <c r="CB15" i="7"/>
  <c r="CB12" i="7"/>
  <c r="CB18" i="7"/>
  <c r="BV12" i="4"/>
  <c r="BS22" i="4"/>
  <c r="BT22" i="4" s="1"/>
  <c r="BV9" i="4"/>
  <c r="BV11" i="4"/>
  <c r="BV17" i="4"/>
  <c r="BV14" i="4"/>
  <c r="BV15" i="4"/>
  <c r="BV13" i="4"/>
  <c r="BV19" i="4"/>
  <c r="BV16" i="4"/>
  <c r="BV21" i="4"/>
  <c r="BV18" i="4"/>
  <c r="BV20" i="4"/>
  <c r="BV10" i="4"/>
  <c r="BY22" i="10" l="1"/>
  <c r="BZ22" i="10" s="1"/>
  <c r="CA22" i="10"/>
  <c r="CC20" i="10" s="1"/>
  <c r="CD20" i="10" s="1"/>
  <c r="CA22" i="7"/>
  <c r="BU22" i="4"/>
  <c r="CC19" i="10" l="1"/>
  <c r="CD19" i="10" s="1"/>
  <c r="CC16" i="10"/>
  <c r="CD16" i="10" s="1"/>
  <c r="CC11" i="10"/>
  <c r="CD11" i="10" s="1"/>
  <c r="CC14" i="10"/>
  <c r="CD14" i="10" s="1"/>
  <c r="CC12" i="10"/>
  <c r="CD12" i="10" s="1"/>
  <c r="CC15" i="10"/>
  <c r="CD15" i="10" s="1"/>
  <c r="CC17" i="10"/>
  <c r="CD17" i="10" s="1"/>
  <c r="CC9" i="10"/>
  <c r="CD9" i="10" s="1"/>
  <c r="CC21" i="10"/>
  <c r="CD21" i="10" s="1"/>
  <c r="CC18" i="10"/>
  <c r="CD18" i="10" s="1"/>
  <c r="CC10" i="10"/>
  <c r="CD10" i="10" s="1"/>
  <c r="CC13" i="10"/>
  <c r="CD13" i="10" s="1"/>
  <c r="CC21" i="7"/>
  <c r="CD21" i="7" s="1"/>
  <c r="CC20" i="7"/>
  <c r="CD20" i="7" s="1"/>
  <c r="CC18" i="7"/>
  <c r="CD18" i="7" s="1"/>
  <c r="CC19" i="7"/>
  <c r="CD19" i="7" s="1"/>
  <c r="CC17" i="7"/>
  <c r="CD17" i="7" s="1"/>
  <c r="CC16" i="7"/>
  <c r="CD16" i="7" s="1"/>
  <c r="CC15" i="7"/>
  <c r="CD15" i="7" s="1"/>
  <c r="CC14" i="7"/>
  <c r="CD14" i="7" s="1"/>
  <c r="CC13" i="7"/>
  <c r="CD13" i="7" s="1"/>
  <c r="CC12" i="7"/>
  <c r="CD12" i="7" s="1"/>
  <c r="CC9" i="7"/>
  <c r="CD9" i="7" s="1"/>
  <c r="CC11" i="7"/>
  <c r="CD11" i="7" s="1"/>
  <c r="CC10" i="7"/>
  <c r="CD10" i="7" s="1"/>
  <c r="BW9" i="4"/>
  <c r="BX9" i="4" s="1"/>
  <c r="BW11" i="4"/>
  <c r="BX11" i="4" s="1"/>
  <c r="BW13" i="4"/>
  <c r="BX13" i="4" s="1"/>
  <c r="BW15" i="4"/>
  <c r="BX15" i="4" s="1"/>
  <c r="BW17" i="4"/>
  <c r="BX17" i="4" s="1"/>
  <c r="BW19" i="4"/>
  <c r="BX19" i="4" s="1"/>
  <c r="BW21" i="4"/>
  <c r="BX21" i="4" s="1"/>
  <c r="BW10" i="4"/>
  <c r="BX10" i="4" s="1"/>
  <c r="BW12" i="4"/>
  <c r="BX12" i="4" s="1"/>
  <c r="BW14" i="4"/>
  <c r="BX14" i="4" s="1"/>
  <c r="BW16" i="4"/>
  <c r="BX16" i="4" s="1"/>
  <c r="BW18" i="4"/>
  <c r="BX18" i="4" s="1"/>
  <c r="BW20" i="4"/>
  <c r="BX20" i="4" s="1"/>
  <c r="CD22" i="10" l="1"/>
  <c r="CE10" i="10" s="1"/>
  <c r="CD22" i="7"/>
  <c r="CE14" i="7" s="1"/>
  <c r="BX22" i="4"/>
  <c r="CE21" i="10" l="1"/>
  <c r="CH21" i="10" s="1"/>
  <c r="CE19" i="10"/>
  <c r="CE13" i="10"/>
  <c r="CH13" i="10" s="1"/>
  <c r="CE15" i="10"/>
  <c r="CH15" i="10" s="1"/>
  <c r="CE9" i="10"/>
  <c r="CH9" i="10" s="1"/>
  <c r="CE17" i="10"/>
  <c r="CH17" i="10" s="1"/>
  <c r="CE14" i="10"/>
  <c r="CH14" i="10" s="1"/>
  <c r="CE12" i="10"/>
  <c r="CH12" i="10" s="1"/>
  <c r="CE20" i="10"/>
  <c r="CH20" i="10" s="1"/>
  <c r="CE16" i="10"/>
  <c r="CH16" i="10" s="1"/>
  <c r="CE11" i="10"/>
  <c r="CH11" i="10" s="1"/>
  <c r="CE18" i="10"/>
  <c r="CH18" i="10" s="1"/>
  <c r="CE19" i="7"/>
  <c r="CH19" i="7" s="1"/>
  <c r="CE17" i="7"/>
  <c r="CH17" i="7" s="1"/>
  <c r="CE10" i="7"/>
  <c r="CE15" i="7"/>
  <c r="CH15" i="7" s="1"/>
  <c r="CE20" i="7"/>
  <c r="CH20" i="7" s="1"/>
  <c r="CE21" i="7"/>
  <c r="CH21" i="7" s="1"/>
  <c r="CE12" i="7"/>
  <c r="CH12" i="7" s="1"/>
  <c r="CE9" i="7"/>
  <c r="CH9" i="7" s="1"/>
  <c r="CE18" i="7"/>
  <c r="CH18" i="7" s="1"/>
  <c r="CE11" i="7"/>
  <c r="CH11" i="7" s="1"/>
  <c r="CE16" i="7"/>
  <c r="CH16" i="7" s="1"/>
  <c r="CE13" i="7"/>
  <c r="CH13" i="7" s="1"/>
  <c r="CH10" i="10"/>
  <c r="CH19" i="10"/>
  <c r="CH14" i="7"/>
  <c r="BY14" i="4"/>
  <c r="BY20" i="4"/>
  <c r="BY17" i="4"/>
  <c r="BY11" i="4"/>
  <c r="BY18" i="4"/>
  <c r="BY15" i="4"/>
  <c r="BY13" i="4"/>
  <c r="BY12" i="4"/>
  <c r="BY21" i="4"/>
  <c r="BY19" i="4"/>
  <c r="BY10" i="4"/>
  <c r="BY16" i="4"/>
  <c r="BY9" i="4"/>
  <c r="CE22" i="10" l="1"/>
  <c r="CF22" i="10" s="1"/>
  <c r="CE22" i="7"/>
  <c r="CF22" i="7" s="1"/>
  <c r="CH10" i="7"/>
  <c r="CG22" i="7" s="1"/>
  <c r="CG22" i="10"/>
  <c r="CB16" i="4"/>
  <c r="CB12" i="4"/>
  <c r="CB11" i="4"/>
  <c r="CB13" i="4"/>
  <c r="CB17" i="4"/>
  <c r="CB10" i="4"/>
  <c r="CB19" i="4"/>
  <c r="CB15" i="4"/>
  <c r="CB20" i="4"/>
  <c r="BY22" i="4"/>
  <c r="BZ22" i="4" s="1"/>
  <c r="CB9" i="4"/>
  <c r="CB21" i="4"/>
  <c r="CB18" i="4"/>
  <c r="CB14" i="4"/>
  <c r="CI21" i="10" l="1"/>
  <c r="CJ21" i="10" s="1"/>
  <c r="CI19" i="10"/>
  <c r="CJ19" i="10" s="1"/>
  <c r="CI18" i="10"/>
  <c r="CJ18" i="10" s="1"/>
  <c r="CI16" i="10"/>
  <c r="CJ16" i="10" s="1"/>
  <c r="CI15" i="10"/>
  <c r="CJ15" i="10" s="1"/>
  <c r="CI14" i="10"/>
  <c r="CJ14" i="10" s="1"/>
  <c r="CI13" i="10"/>
  <c r="CJ13" i="10" s="1"/>
  <c r="CI20" i="10"/>
  <c r="CJ20" i="10" s="1"/>
  <c r="CI12" i="10"/>
  <c r="CJ12" i="10" s="1"/>
  <c r="CI11" i="10"/>
  <c r="CJ11" i="10" s="1"/>
  <c r="CI10" i="10"/>
  <c r="CJ10" i="10" s="1"/>
  <c r="CI9" i="10"/>
  <c r="CJ9" i="10" s="1"/>
  <c r="CI17" i="10"/>
  <c r="CJ17" i="10" s="1"/>
  <c r="CI21" i="7"/>
  <c r="CJ21" i="7" s="1"/>
  <c r="CI20" i="7"/>
  <c r="CJ20" i="7" s="1"/>
  <c r="CI18" i="7"/>
  <c r="CJ18" i="7" s="1"/>
  <c r="CI19" i="7"/>
  <c r="CJ19" i="7" s="1"/>
  <c r="CI16" i="7"/>
  <c r="CJ16" i="7" s="1"/>
  <c r="CI15" i="7"/>
  <c r="CJ15" i="7" s="1"/>
  <c r="CI14" i="7"/>
  <c r="CJ14" i="7" s="1"/>
  <c r="CI13" i="7"/>
  <c r="CJ13" i="7" s="1"/>
  <c r="CI12" i="7"/>
  <c r="CJ12" i="7" s="1"/>
  <c r="CI11" i="7"/>
  <c r="CJ11" i="7" s="1"/>
  <c r="CI10" i="7"/>
  <c r="CJ10" i="7" s="1"/>
  <c r="CI17" i="7"/>
  <c r="CJ17" i="7" s="1"/>
  <c r="CI9" i="7"/>
  <c r="CJ9" i="7" s="1"/>
  <c r="CA22" i="4"/>
  <c r="CJ22" i="7" l="1"/>
  <c r="CK14" i="7" s="1"/>
  <c r="CJ22" i="10"/>
  <c r="CC9" i="4"/>
  <c r="CD9" i="4" s="1"/>
  <c r="CC11" i="4"/>
  <c r="CD11" i="4" s="1"/>
  <c r="CC13" i="4"/>
  <c r="CD13" i="4" s="1"/>
  <c r="CC15" i="4"/>
  <c r="CD15" i="4" s="1"/>
  <c r="CC17" i="4"/>
  <c r="CD17" i="4" s="1"/>
  <c r="CC19" i="4"/>
  <c r="CD19" i="4" s="1"/>
  <c r="CC21" i="4"/>
  <c r="CD21" i="4" s="1"/>
  <c r="CC10" i="4"/>
  <c r="CD10" i="4" s="1"/>
  <c r="CC12" i="4"/>
  <c r="CD12" i="4" s="1"/>
  <c r="CC14" i="4"/>
  <c r="CD14" i="4" s="1"/>
  <c r="CC16" i="4"/>
  <c r="CD16" i="4" s="1"/>
  <c r="CC18" i="4"/>
  <c r="CD18" i="4" s="1"/>
  <c r="CC20" i="4"/>
  <c r="CD20" i="4" s="1"/>
  <c r="CK11" i="7" l="1"/>
  <c r="CN11" i="7" s="1"/>
  <c r="CK16" i="7"/>
  <c r="CK17" i="7"/>
  <c r="CN17" i="7" s="1"/>
  <c r="CK12" i="7"/>
  <c r="CN12" i="7" s="1"/>
  <c r="CK21" i="7"/>
  <c r="CN21" i="7" s="1"/>
  <c r="CK15" i="7"/>
  <c r="CK20" i="7"/>
  <c r="CK18" i="7"/>
  <c r="CN18" i="7" s="1"/>
  <c r="CK19" i="7"/>
  <c r="CN19" i="7" s="1"/>
  <c r="CK9" i="7"/>
  <c r="CK10" i="7"/>
  <c r="CN10" i="7" s="1"/>
  <c r="CK13" i="7"/>
  <c r="CN13" i="7" s="1"/>
  <c r="CK21" i="10"/>
  <c r="CK17" i="10"/>
  <c r="CK10" i="10"/>
  <c r="CK11" i="10"/>
  <c r="CK20" i="10"/>
  <c r="CK16" i="10"/>
  <c r="CK14" i="10"/>
  <c r="CK9" i="10"/>
  <c r="CK13" i="10"/>
  <c r="CK18" i="10"/>
  <c r="CK15" i="10"/>
  <c r="CK12" i="10"/>
  <c r="CK19" i="10"/>
  <c r="CN15" i="7"/>
  <c r="CN20" i="7"/>
  <c r="CN9" i="7"/>
  <c r="CN14" i="7"/>
  <c r="CN16" i="7"/>
  <c r="CD22" i="4"/>
  <c r="CK22" i="7" l="1"/>
  <c r="CL22" i="7" s="1"/>
  <c r="CN12" i="10"/>
  <c r="CK22" i="10"/>
  <c r="CL22" i="10" s="1"/>
  <c r="CN9" i="10"/>
  <c r="CN11" i="10"/>
  <c r="CN14" i="10"/>
  <c r="CN10" i="10"/>
  <c r="CN15" i="10"/>
  <c r="CN18" i="10"/>
  <c r="CN16" i="10"/>
  <c r="CN17" i="10"/>
  <c r="CN19" i="10"/>
  <c r="CN13" i="10"/>
  <c r="CN20" i="10"/>
  <c r="CN21" i="10"/>
  <c r="CM22" i="7"/>
  <c r="CE10" i="4"/>
  <c r="CE16" i="4"/>
  <c r="CE9" i="4"/>
  <c r="CE15" i="4"/>
  <c r="CE20" i="4"/>
  <c r="CE19" i="4"/>
  <c r="CE14" i="4"/>
  <c r="CE17" i="4"/>
  <c r="CE18" i="4"/>
  <c r="CE13" i="4"/>
  <c r="CE12" i="4"/>
  <c r="CE21" i="4"/>
  <c r="CE11" i="4"/>
  <c r="CM22" i="10" l="1"/>
  <c r="CO21" i="7"/>
  <c r="CP21" i="7" s="1"/>
  <c r="CO20" i="7"/>
  <c r="CP20" i="7" s="1"/>
  <c r="CO18" i="7"/>
  <c r="CP18" i="7" s="1"/>
  <c r="CO19" i="7"/>
  <c r="CP19" i="7" s="1"/>
  <c r="CO16" i="7"/>
  <c r="CP16" i="7" s="1"/>
  <c r="CO15" i="7"/>
  <c r="CP15" i="7" s="1"/>
  <c r="CO14" i="7"/>
  <c r="CP14" i="7" s="1"/>
  <c r="CO13" i="7"/>
  <c r="CP13" i="7" s="1"/>
  <c r="CO12" i="7"/>
  <c r="CP12" i="7" s="1"/>
  <c r="CO17" i="7"/>
  <c r="CP17" i="7" s="1"/>
  <c r="CO10" i="7"/>
  <c r="CP10" i="7" s="1"/>
  <c r="CO9" i="7"/>
  <c r="CP9" i="7" s="1"/>
  <c r="CO11" i="7"/>
  <c r="CP11" i="7" s="1"/>
  <c r="CH21" i="4"/>
  <c r="CH17" i="4"/>
  <c r="CH15" i="4"/>
  <c r="CH12" i="4"/>
  <c r="CH14" i="4"/>
  <c r="CE22" i="4"/>
  <c r="CF22" i="4" s="1"/>
  <c r="CH9" i="4"/>
  <c r="CH13" i="4"/>
  <c r="CH19" i="4"/>
  <c r="CH16" i="4"/>
  <c r="CH11" i="4"/>
  <c r="CH18" i="4"/>
  <c r="CH20" i="4"/>
  <c r="CH10" i="4"/>
  <c r="CO20" i="10" l="1"/>
  <c r="CP20" i="10" s="1"/>
  <c r="CO19" i="10"/>
  <c r="CP19" i="10" s="1"/>
  <c r="CO17" i="10"/>
  <c r="CP17" i="10" s="1"/>
  <c r="CO15" i="10"/>
  <c r="CP15" i="10" s="1"/>
  <c r="CO14" i="10"/>
  <c r="CP14" i="10" s="1"/>
  <c r="CO13" i="10"/>
  <c r="CP13" i="10" s="1"/>
  <c r="CO18" i="10"/>
  <c r="CP18" i="10" s="1"/>
  <c r="CO16" i="10"/>
  <c r="CP16" i="10" s="1"/>
  <c r="CO12" i="10"/>
  <c r="CP12" i="10" s="1"/>
  <c r="CO11" i="10"/>
  <c r="CP11" i="10" s="1"/>
  <c r="CO10" i="10"/>
  <c r="CP10" i="10" s="1"/>
  <c r="CO9" i="10"/>
  <c r="CP9" i="10" s="1"/>
  <c r="CO21" i="10"/>
  <c r="CP21" i="10" s="1"/>
  <c r="CP22" i="7"/>
  <c r="CG22" i="4"/>
  <c r="CP22" i="10" l="1"/>
  <c r="CQ18" i="10" s="1"/>
  <c r="CQ18" i="7"/>
  <c r="CQ14" i="7"/>
  <c r="CQ11" i="7"/>
  <c r="CQ21" i="7"/>
  <c r="CQ17" i="7"/>
  <c r="CQ13" i="7"/>
  <c r="CQ10" i="7"/>
  <c r="CQ19" i="7"/>
  <c r="CQ9" i="7"/>
  <c r="CQ20" i="7"/>
  <c r="CQ16" i="7"/>
  <c r="CQ12" i="7"/>
  <c r="CQ15" i="7"/>
  <c r="CI9" i="4"/>
  <c r="CJ9" i="4" s="1"/>
  <c r="CI11" i="4"/>
  <c r="CJ11" i="4" s="1"/>
  <c r="CI13" i="4"/>
  <c r="CJ13" i="4" s="1"/>
  <c r="CI15" i="4"/>
  <c r="CJ15" i="4" s="1"/>
  <c r="CI17" i="4"/>
  <c r="CJ17" i="4" s="1"/>
  <c r="CI19" i="4"/>
  <c r="CJ19" i="4" s="1"/>
  <c r="CI21" i="4"/>
  <c r="CJ21" i="4" s="1"/>
  <c r="CI10" i="4"/>
  <c r="CJ10" i="4" s="1"/>
  <c r="CI12" i="4"/>
  <c r="CJ12" i="4" s="1"/>
  <c r="CI14" i="4"/>
  <c r="CJ14" i="4" s="1"/>
  <c r="CI16" i="4"/>
  <c r="CJ16" i="4" s="1"/>
  <c r="CI18" i="4"/>
  <c r="CJ18" i="4" s="1"/>
  <c r="CI20" i="4"/>
  <c r="CJ20" i="4" s="1"/>
  <c r="CQ11" i="10" l="1"/>
  <c r="CQ19" i="10"/>
  <c r="CQ16" i="10"/>
  <c r="CQ20" i="10"/>
  <c r="CQ12" i="10"/>
  <c r="CQ17" i="10"/>
  <c r="CQ15" i="10"/>
  <c r="CQ9" i="10"/>
  <c r="CQ13" i="10"/>
  <c r="CQ14" i="10"/>
  <c r="CQ10" i="10"/>
  <c r="CQ21" i="10"/>
  <c r="CT12" i="10"/>
  <c r="CT19" i="10"/>
  <c r="CT18" i="10"/>
  <c r="CT12" i="7"/>
  <c r="CT19" i="7"/>
  <c r="CT21" i="7"/>
  <c r="CT10" i="7"/>
  <c r="CT11" i="7"/>
  <c r="CT16" i="7"/>
  <c r="CT20" i="7"/>
  <c r="CT13" i="7"/>
  <c r="CT14" i="7"/>
  <c r="CT15" i="7"/>
  <c r="CQ22" i="7"/>
  <c r="CR22" i="7" s="1"/>
  <c r="CT9" i="7"/>
  <c r="CT17" i="7"/>
  <c r="CT18" i="7"/>
  <c r="CJ22" i="4"/>
  <c r="CT10" i="10" l="1"/>
  <c r="CT15" i="10"/>
  <c r="CT16" i="10"/>
  <c r="CT14" i="10"/>
  <c r="CT17" i="10"/>
  <c r="CT13" i="10"/>
  <c r="CT11" i="10"/>
  <c r="CT21" i="10"/>
  <c r="CT20" i="10"/>
  <c r="CQ22" i="10"/>
  <c r="CR22" i="10" s="1"/>
  <c r="CT9" i="10"/>
  <c r="CS22" i="7"/>
  <c r="CK10" i="4"/>
  <c r="CK16" i="4"/>
  <c r="CK9" i="4"/>
  <c r="CK14" i="4"/>
  <c r="CK20" i="4"/>
  <c r="CK17" i="4"/>
  <c r="CK11" i="4"/>
  <c r="CK15" i="4"/>
  <c r="CK18" i="4"/>
  <c r="CK13" i="4"/>
  <c r="CK12" i="4"/>
  <c r="CK21" i="4"/>
  <c r="CK19" i="4"/>
  <c r="CS22" i="10" l="1"/>
  <c r="CU21" i="10" s="1"/>
  <c r="CV21" i="10" s="1"/>
  <c r="CU21" i="7"/>
  <c r="CV21" i="7" s="1"/>
  <c r="CU20" i="7"/>
  <c r="CV20" i="7" s="1"/>
  <c r="CU18" i="7"/>
  <c r="CV18" i="7" s="1"/>
  <c r="CU19" i="7"/>
  <c r="CV19" i="7" s="1"/>
  <c r="CU16" i="7"/>
  <c r="CV16" i="7" s="1"/>
  <c r="CU15" i="7"/>
  <c r="CV15" i="7" s="1"/>
  <c r="CU14" i="7"/>
  <c r="CV14" i="7" s="1"/>
  <c r="CU13" i="7"/>
  <c r="CV13" i="7" s="1"/>
  <c r="CU12" i="7"/>
  <c r="CV12" i="7" s="1"/>
  <c r="CU17" i="7"/>
  <c r="CV17" i="7" s="1"/>
  <c r="CU11" i="7"/>
  <c r="CV11" i="7" s="1"/>
  <c r="CU10" i="7"/>
  <c r="CV10" i="7" s="1"/>
  <c r="CU9" i="7"/>
  <c r="CV9" i="7" s="1"/>
  <c r="CN21" i="4"/>
  <c r="CN15" i="4"/>
  <c r="CN14" i="4"/>
  <c r="CN11" i="4"/>
  <c r="CK22" i="4"/>
  <c r="CL22" i="4" s="1"/>
  <c r="CN9" i="4"/>
  <c r="CN12" i="4"/>
  <c r="CN13" i="4"/>
  <c r="CN17" i="4"/>
  <c r="CN16" i="4"/>
  <c r="CN19" i="4"/>
  <c r="CN18" i="4"/>
  <c r="CN20" i="4"/>
  <c r="CN10" i="4"/>
  <c r="CU9" i="10" l="1"/>
  <c r="CV9" i="10" s="1"/>
  <c r="CU17" i="10"/>
  <c r="CV17" i="10" s="1"/>
  <c r="CU16" i="10"/>
  <c r="CV16" i="10" s="1"/>
  <c r="CU10" i="10"/>
  <c r="CV10" i="10" s="1"/>
  <c r="CU13" i="10"/>
  <c r="CV13" i="10" s="1"/>
  <c r="CU18" i="10"/>
  <c r="CV18" i="10" s="1"/>
  <c r="CU11" i="10"/>
  <c r="CV11" i="10" s="1"/>
  <c r="CU14" i="10"/>
  <c r="CV14" i="10" s="1"/>
  <c r="CU20" i="10"/>
  <c r="CV20" i="10" s="1"/>
  <c r="CU15" i="10"/>
  <c r="CV15" i="10" s="1"/>
  <c r="CU12" i="10"/>
  <c r="CV12" i="10" s="1"/>
  <c r="CU19" i="10"/>
  <c r="CV19" i="10" s="1"/>
  <c r="CV22" i="7"/>
  <c r="CM22" i="4"/>
  <c r="CV22" i="10" l="1"/>
  <c r="CW21" i="10" s="1"/>
  <c r="CZ21" i="10" s="1"/>
  <c r="CW18" i="7"/>
  <c r="CW14" i="7"/>
  <c r="CW9" i="7"/>
  <c r="CW17" i="7"/>
  <c r="CW13" i="7"/>
  <c r="CW21" i="7"/>
  <c r="CW11" i="7"/>
  <c r="CW20" i="7"/>
  <c r="CW16" i="7"/>
  <c r="CW12" i="7"/>
  <c r="CW19" i="7"/>
  <c r="CW15" i="7"/>
  <c r="CW10" i="7"/>
  <c r="CO9" i="4"/>
  <c r="CP9" i="4" s="1"/>
  <c r="CO11" i="4"/>
  <c r="CP11" i="4" s="1"/>
  <c r="CO13" i="4"/>
  <c r="CP13" i="4" s="1"/>
  <c r="CO15" i="4"/>
  <c r="CP15" i="4" s="1"/>
  <c r="CO17" i="4"/>
  <c r="CP17" i="4" s="1"/>
  <c r="CO19" i="4"/>
  <c r="CP19" i="4" s="1"/>
  <c r="CO21" i="4"/>
  <c r="CP21" i="4" s="1"/>
  <c r="CO10" i="4"/>
  <c r="CP10" i="4" s="1"/>
  <c r="CO12" i="4"/>
  <c r="CP12" i="4" s="1"/>
  <c r="CO14" i="4"/>
  <c r="CP14" i="4" s="1"/>
  <c r="CO16" i="4"/>
  <c r="CP16" i="4" s="1"/>
  <c r="CO18" i="4"/>
  <c r="CP18" i="4" s="1"/>
  <c r="CO20" i="4"/>
  <c r="CP20" i="4" s="1"/>
  <c r="CW13" i="10" l="1"/>
  <c r="CZ13" i="10" s="1"/>
  <c r="CW11" i="10"/>
  <c r="CZ11" i="10" s="1"/>
  <c r="CW17" i="10"/>
  <c r="CZ17" i="10" s="1"/>
  <c r="CW16" i="10"/>
  <c r="CZ16" i="10" s="1"/>
  <c r="CW18" i="10"/>
  <c r="CZ18" i="10" s="1"/>
  <c r="CW10" i="10"/>
  <c r="CZ10" i="10" s="1"/>
  <c r="CW15" i="10"/>
  <c r="CZ15" i="10" s="1"/>
  <c r="CW14" i="10"/>
  <c r="CZ14" i="10" s="1"/>
  <c r="CW20" i="10"/>
  <c r="CZ20" i="10" s="1"/>
  <c r="CW12" i="10"/>
  <c r="CZ12" i="10" s="1"/>
  <c r="CW19" i="10"/>
  <c r="CZ19" i="10" s="1"/>
  <c r="CW9" i="10"/>
  <c r="CZ9" i="10" s="1"/>
  <c r="CZ19" i="7"/>
  <c r="CZ15" i="7"/>
  <c r="CZ20" i="7"/>
  <c r="CZ17" i="7"/>
  <c r="CZ11" i="7"/>
  <c r="CW22" i="7"/>
  <c r="CX22" i="7" s="1"/>
  <c r="CZ9" i="7"/>
  <c r="CZ12" i="7"/>
  <c r="CZ21" i="7"/>
  <c r="CZ14" i="7"/>
  <c r="CZ10" i="7"/>
  <c r="CZ16" i="7"/>
  <c r="CZ13" i="7"/>
  <c r="CZ18" i="7"/>
  <c r="CP22" i="4"/>
  <c r="CW22" i="10" l="1"/>
  <c r="CX22" i="10" s="1"/>
  <c r="CY22" i="10"/>
  <c r="DA20" i="10" s="1"/>
  <c r="DB20" i="10" s="1"/>
  <c r="CY22" i="7"/>
  <c r="CQ10" i="4"/>
  <c r="CQ16" i="4"/>
  <c r="CQ9" i="4"/>
  <c r="CQ15" i="4"/>
  <c r="CQ20" i="4"/>
  <c r="CQ17" i="4"/>
  <c r="CQ14" i="4"/>
  <c r="CQ19" i="4"/>
  <c r="CQ18" i="4"/>
  <c r="CQ13" i="4"/>
  <c r="CQ12" i="4"/>
  <c r="CQ21" i="4"/>
  <c r="CQ11" i="4"/>
  <c r="DA17" i="10" l="1"/>
  <c r="DB17" i="10" s="1"/>
  <c r="DA18" i="10"/>
  <c r="DB18" i="10" s="1"/>
  <c r="DA12" i="10"/>
  <c r="DB12" i="10" s="1"/>
  <c r="DA9" i="10"/>
  <c r="DB9" i="10" s="1"/>
  <c r="DA13" i="10"/>
  <c r="DB13" i="10" s="1"/>
  <c r="DA19" i="10"/>
  <c r="DB19" i="10" s="1"/>
  <c r="DA10" i="10"/>
  <c r="DB10" i="10" s="1"/>
  <c r="DA14" i="10"/>
  <c r="DB14" i="10" s="1"/>
  <c r="DA21" i="10"/>
  <c r="DB21" i="10" s="1"/>
  <c r="DA16" i="10"/>
  <c r="DB16" i="10" s="1"/>
  <c r="DA11" i="10"/>
  <c r="DB11" i="10" s="1"/>
  <c r="DA15" i="10"/>
  <c r="DB15" i="10" s="1"/>
  <c r="DA21" i="7"/>
  <c r="DB21" i="7" s="1"/>
  <c r="DA20" i="7"/>
  <c r="DB20" i="7" s="1"/>
  <c r="DA18" i="7"/>
  <c r="DB18" i="7" s="1"/>
  <c r="DA19" i="7"/>
  <c r="DB19" i="7" s="1"/>
  <c r="DA16" i="7"/>
  <c r="DB16" i="7" s="1"/>
  <c r="DA15" i="7"/>
  <c r="DB15" i="7" s="1"/>
  <c r="DA14" i="7"/>
  <c r="DB14" i="7" s="1"/>
  <c r="DA13" i="7"/>
  <c r="DB13" i="7" s="1"/>
  <c r="DA12" i="7"/>
  <c r="DB12" i="7" s="1"/>
  <c r="DA17" i="7"/>
  <c r="DB17" i="7" s="1"/>
  <c r="DA9" i="7"/>
  <c r="DB9" i="7" s="1"/>
  <c r="DA11" i="7"/>
  <c r="DB11" i="7" s="1"/>
  <c r="DA10" i="7"/>
  <c r="DB10" i="7" s="1"/>
  <c r="CT21" i="4"/>
  <c r="CT19" i="4"/>
  <c r="CT15" i="4"/>
  <c r="CT14" i="4"/>
  <c r="CQ22" i="4"/>
  <c r="CR22" i="4" s="1"/>
  <c r="CT9" i="4"/>
  <c r="CT12" i="4"/>
  <c r="CT13" i="4"/>
  <c r="CT17" i="4"/>
  <c r="CT16" i="4"/>
  <c r="CT11" i="4"/>
  <c r="CT18" i="4"/>
  <c r="CT20" i="4"/>
  <c r="CT10" i="4"/>
  <c r="DB22" i="10" l="1"/>
  <c r="DC21" i="10" s="1"/>
  <c r="DB22" i="7"/>
  <c r="CS22" i="4"/>
  <c r="DC14" i="10" l="1"/>
  <c r="DC19" i="10"/>
  <c r="DC11" i="10"/>
  <c r="DF11" i="10" s="1"/>
  <c r="DC12" i="10"/>
  <c r="DF12" i="10" s="1"/>
  <c r="DC9" i="10"/>
  <c r="DF9" i="10" s="1"/>
  <c r="DC18" i="10"/>
  <c r="DF18" i="10" s="1"/>
  <c r="DC20" i="10"/>
  <c r="DF20" i="10" s="1"/>
  <c r="DC13" i="10"/>
  <c r="DF13" i="10" s="1"/>
  <c r="DC17" i="10"/>
  <c r="DF17" i="10" s="1"/>
  <c r="DC10" i="10"/>
  <c r="DC15" i="10"/>
  <c r="DF15" i="10" s="1"/>
  <c r="DC16" i="10"/>
  <c r="DF16" i="10" s="1"/>
  <c r="DF14" i="10"/>
  <c r="DF19" i="10"/>
  <c r="DF10" i="10"/>
  <c r="DF21" i="10"/>
  <c r="DC18" i="7"/>
  <c r="DC14" i="7"/>
  <c r="DC10" i="7"/>
  <c r="DC17" i="7"/>
  <c r="DC13" i="7"/>
  <c r="DC11" i="7"/>
  <c r="DC21" i="7"/>
  <c r="DC9" i="7"/>
  <c r="DC20" i="7"/>
  <c r="DC16" i="7"/>
  <c r="DC12" i="7"/>
  <c r="DC19" i="7"/>
  <c r="DC15" i="7"/>
  <c r="CU9" i="4"/>
  <c r="CV9" i="4" s="1"/>
  <c r="CU11" i="4"/>
  <c r="CV11" i="4" s="1"/>
  <c r="CU13" i="4"/>
  <c r="CV13" i="4" s="1"/>
  <c r="CU15" i="4"/>
  <c r="CV15" i="4" s="1"/>
  <c r="CU17" i="4"/>
  <c r="CV17" i="4" s="1"/>
  <c r="CU19" i="4"/>
  <c r="CV19" i="4" s="1"/>
  <c r="CU21" i="4"/>
  <c r="CV21" i="4" s="1"/>
  <c r="CU10" i="4"/>
  <c r="CV10" i="4" s="1"/>
  <c r="CU12" i="4"/>
  <c r="CV12" i="4" s="1"/>
  <c r="CU14" i="4"/>
  <c r="CV14" i="4" s="1"/>
  <c r="CU16" i="4"/>
  <c r="CV16" i="4" s="1"/>
  <c r="CU18" i="4"/>
  <c r="CV18" i="4" s="1"/>
  <c r="CU20" i="4"/>
  <c r="CV20" i="4" s="1"/>
  <c r="DC22" i="10" l="1"/>
  <c r="DD22" i="10" s="1"/>
  <c r="DE22" i="10"/>
  <c r="DF19" i="7"/>
  <c r="DC22" i="7"/>
  <c r="DD22" i="7" s="1"/>
  <c r="DF9" i="7"/>
  <c r="DF17" i="7"/>
  <c r="DF21" i="7"/>
  <c r="DF10" i="7"/>
  <c r="DF12" i="7"/>
  <c r="DF16" i="7"/>
  <c r="DF11" i="7"/>
  <c r="DF14" i="7"/>
  <c r="DF15" i="7"/>
  <c r="DF20" i="7"/>
  <c r="DF13" i="7"/>
  <c r="DF18" i="7"/>
  <c r="CV22" i="4"/>
  <c r="DG21" i="10" l="1"/>
  <c r="DH21" i="10" s="1"/>
  <c r="DG19" i="10"/>
  <c r="DH19" i="10" s="1"/>
  <c r="DG20" i="10"/>
  <c r="DH20" i="10" s="1"/>
  <c r="DG18" i="10"/>
  <c r="DH18" i="10" s="1"/>
  <c r="DG16" i="10"/>
  <c r="DH16" i="10" s="1"/>
  <c r="DG14" i="10"/>
  <c r="DH14" i="10" s="1"/>
  <c r="DG13" i="10"/>
  <c r="DH13" i="10" s="1"/>
  <c r="DG15" i="10"/>
  <c r="DH15" i="10" s="1"/>
  <c r="DG12" i="10"/>
  <c r="DH12" i="10" s="1"/>
  <c r="DG11" i="10"/>
  <c r="DH11" i="10" s="1"/>
  <c r="DG10" i="10"/>
  <c r="DH10" i="10" s="1"/>
  <c r="DG9" i="10"/>
  <c r="DH9" i="10" s="1"/>
  <c r="DG17" i="10"/>
  <c r="DH17" i="10" s="1"/>
  <c r="DE22" i="7"/>
  <c r="CW10" i="4"/>
  <c r="CW16" i="4"/>
  <c r="CW9" i="4"/>
  <c r="CW20" i="4"/>
  <c r="CW11" i="4"/>
  <c r="CW19" i="4"/>
  <c r="CW14" i="4"/>
  <c r="CW17" i="4"/>
  <c r="CW18" i="4"/>
  <c r="CW13" i="4"/>
  <c r="CW15" i="4"/>
  <c r="CW12" i="4"/>
  <c r="CW21" i="4"/>
  <c r="DH22" i="10" l="1"/>
  <c r="DG21" i="7"/>
  <c r="DH21" i="7" s="1"/>
  <c r="DG20" i="7"/>
  <c r="DH20" i="7" s="1"/>
  <c r="DG18" i="7"/>
  <c r="DH18" i="7" s="1"/>
  <c r="DG19" i="7"/>
  <c r="DH19" i="7" s="1"/>
  <c r="DG16" i="7"/>
  <c r="DH16" i="7" s="1"/>
  <c r="DG15" i="7"/>
  <c r="DH15" i="7" s="1"/>
  <c r="DG14" i="7"/>
  <c r="DH14" i="7" s="1"/>
  <c r="DG13" i="7"/>
  <c r="DH13" i="7" s="1"/>
  <c r="DG12" i="7"/>
  <c r="DH12" i="7" s="1"/>
  <c r="DG17" i="7"/>
  <c r="DH17" i="7" s="1"/>
  <c r="DG11" i="7"/>
  <c r="DH11" i="7" s="1"/>
  <c r="DG10" i="7"/>
  <c r="DH10" i="7" s="1"/>
  <c r="DG9" i="7"/>
  <c r="DH9" i="7" s="1"/>
  <c r="CZ12" i="4"/>
  <c r="CZ17" i="4"/>
  <c r="CZ20" i="4"/>
  <c r="CZ14" i="4"/>
  <c r="CW22" i="4"/>
  <c r="CX22" i="4" s="1"/>
  <c r="CZ9" i="4"/>
  <c r="CZ15" i="4"/>
  <c r="CZ13" i="4"/>
  <c r="CZ19" i="4"/>
  <c r="CZ16" i="4"/>
  <c r="CZ21" i="4"/>
  <c r="CZ18" i="4"/>
  <c r="CZ11" i="4"/>
  <c r="CZ10" i="4"/>
  <c r="DH22" i="7" l="1"/>
  <c r="DI21" i="7" s="1"/>
  <c r="DI21" i="10"/>
  <c r="DI17" i="10"/>
  <c r="DI13" i="10"/>
  <c r="DI14" i="10"/>
  <c r="DI20" i="10"/>
  <c r="DI16" i="10"/>
  <c r="DI12" i="10"/>
  <c r="DI10" i="10"/>
  <c r="DI15" i="10"/>
  <c r="DI18" i="10"/>
  <c r="DI11" i="10"/>
  <c r="DI19" i="10"/>
  <c r="DI9" i="10"/>
  <c r="CY22" i="4"/>
  <c r="DI15" i="7" l="1"/>
  <c r="DL15" i="7" s="1"/>
  <c r="DI20" i="7"/>
  <c r="DL20" i="7" s="1"/>
  <c r="DI17" i="7"/>
  <c r="DL17" i="7" s="1"/>
  <c r="DI12" i="7"/>
  <c r="DL12" i="7" s="1"/>
  <c r="DI11" i="7"/>
  <c r="DL11" i="7" s="1"/>
  <c r="DI16" i="7"/>
  <c r="DL16" i="7" s="1"/>
  <c r="DI10" i="7"/>
  <c r="DL10" i="7" s="1"/>
  <c r="DI9" i="7"/>
  <c r="DL9" i="7" s="1"/>
  <c r="DI18" i="7"/>
  <c r="DL18" i="7" s="1"/>
  <c r="DI19" i="7"/>
  <c r="DL19" i="7" s="1"/>
  <c r="DI13" i="7"/>
  <c r="DL13" i="7" s="1"/>
  <c r="DI14" i="7"/>
  <c r="DL19" i="10"/>
  <c r="DL10" i="10"/>
  <c r="DL14" i="10"/>
  <c r="DL12" i="10"/>
  <c r="DL13" i="10"/>
  <c r="DL11" i="10"/>
  <c r="DL18" i="10"/>
  <c r="DL16" i="10"/>
  <c r="DL17" i="10"/>
  <c r="DI22" i="10"/>
  <c r="DJ22" i="10" s="1"/>
  <c r="DL9" i="10"/>
  <c r="DL15" i="10"/>
  <c r="DL20" i="10"/>
  <c r="DL21" i="10"/>
  <c r="DL21" i="7"/>
  <c r="DA9" i="4"/>
  <c r="DB9" i="4" s="1"/>
  <c r="DA11" i="4"/>
  <c r="DB11" i="4" s="1"/>
  <c r="DA13" i="4"/>
  <c r="DB13" i="4" s="1"/>
  <c r="DA15" i="4"/>
  <c r="DB15" i="4" s="1"/>
  <c r="DA17" i="4"/>
  <c r="DB17" i="4" s="1"/>
  <c r="DA19" i="4"/>
  <c r="DB19" i="4" s="1"/>
  <c r="DA21" i="4"/>
  <c r="DB21" i="4" s="1"/>
  <c r="DA10" i="4"/>
  <c r="DB10" i="4" s="1"/>
  <c r="DA12" i="4"/>
  <c r="DB12" i="4" s="1"/>
  <c r="DA14" i="4"/>
  <c r="DB14" i="4" s="1"/>
  <c r="DA16" i="4"/>
  <c r="DB16" i="4" s="1"/>
  <c r="DA18" i="4"/>
  <c r="DB18" i="4" s="1"/>
  <c r="DA20" i="4"/>
  <c r="DB20" i="4" s="1"/>
  <c r="DI22" i="7" l="1"/>
  <c r="DJ22" i="7" s="1"/>
  <c r="DL14" i="7"/>
  <c r="DK22" i="7" s="1"/>
  <c r="DK22" i="10"/>
  <c r="DB22" i="4"/>
  <c r="DM20" i="10" l="1"/>
  <c r="DN20" i="10" s="1"/>
  <c r="DM21" i="10"/>
  <c r="DN21" i="10" s="1"/>
  <c r="DM19" i="10"/>
  <c r="DN19" i="10" s="1"/>
  <c r="DM17" i="10"/>
  <c r="DN17" i="10" s="1"/>
  <c r="DM15" i="10"/>
  <c r="DN15" i="10" s="1"/>
  <c r="DM14" i="10"/>
  <c r="DN14" i="10" s="1"/>
  <c r="DM13" i="10"/>
  <c r="DN13" i="10" s="1"/>
  <c r="DM18" i="10"/>
  <c r="DN18" i="10" s="1"/>
  <c r="DM16" i="10"/>
  <c r="DN16" i="10" s="1"/>
  <c r="DM12" i="10"/>
  <c r="DN12" i="10" s="1"/>
  <c r="DM11" i="10"/>
  <c r="DN11" i="10" s="1"/>
  <c r="DM10" i="10"/>
  <c r="DN10" i="10" s="1"/>
  <c r="DM9" i="10"/>
  <c r="DN9" i="10" s="1"/>
  <c r="DM21" i="7"/>
  <c r="DN21" i="7" s="1"/>
  <c r="DM20" i="7"/>
  <c r="DN20" i="7" s="1"/>
  <c r="DM18" i="7"/>
  <c r="DN18" i="7" s="1"/>
  <c r="DM19" i="7"/>
  <c r="DN19" i="7" s="1"/>
  <c r="DM16" i="7"/>
  <c r="DN16" i="7" s="1"/>
  <c r="DM15" i="7"/>
  <c r="DN15" i="7" s="1"/>
  <c r="DM14" i="7"/>
  <c r="DN14" i="7" s="1"/>
  <c r="DM13" i="7"/>
  <c r="DN13" i="7" s="1"/>
  <c r="DM12" i="7"/>
  <c r="DN12" i="7" s="1"/>
  <c r="DM17" i="7"/>
  <c r="DN17" i="7" s="1"/>
  <c r="DM10" i="7"/>
  <c r="DN10" i="7" s="1"/>
  <c r="DM9" i="7"/>
  <c r="DN9" i="7" s="1"/>
  <c r="DM11" i="7"/>
  <c r="DN11" i="7" s="1"/>
  <c r="DC10" i="4"/>
  <c r="DC16" i="4"/>
  <c r="DC9" i="4"/>
  <c r="DC15" i="4"/>
  <c r="DC20" i="4"/>
  <c r="DC17" i="4"/>
  <c r="DC14" i="4"/>
  <c r="DC19" i="4"/>
  <c r="DC18" i="4"/>
  <c r="DC13" i="4"/>
  <c r="DC12" i="4"/>
  <c r="DC21" i="4"/>
  <c r="DC11" i="4"/>
  <c r="DN22" i="10" l="1"/>
  <c r="DO21" i="10" s="1"/>
  <c r="DN22" i="7"/>
  <c r="DF21" i="4"/>
  <c r="DF19" i="4"/>
  <c r="DF15" i="4"/>
  <c r="DF14" i="4"/>
  <c r="DC22" i="4"/>
  <c r="DD22" i="4" s="1"/>
  <c r="DF9" i="4"/>
  <c r="DF12" i="4"/>
  <c r="DF13" i="4"/>
  <c r="DF17" i="4"/>
  <c r="DF16" i="4"/>
  <c r="DF11" i="4"/>
  <c r="DF18" i="4"/>
  <c r="DF20" i="4"/>
  <c r="DF10" i="4"/>
  <c r="DO19" i="10" l="1"/>
  <c r="DO14" i="10"/>
  <c r="DR14" i="10" s="1"/>
  <c r="DO17" i="10"/>
  <c r="DO11" i="10"/>
  <c r="DO15" i="10"/>
  <c r="DO16" i="10"/>
  <c r="DR16" i="10" s="1"/>
  <c r="DO20" i="10"/>
  <c r="DO18" i="10"/>
  <c r="DO13" i="10"/>
  <c r="DO9" i="10"/>
  <c r="DR9" i="10" s="1"/>
  <c r="DO10" i="10"/>
  <c r="DO12" i="10"/>
  <c r="DR21" i="10"/>
  <c r="DO18" i="7"/>
  <c r="DO14" i="7"/>
  <c r="DO10" i="7"/>
  <c r="DO9" i="7"/>
  <c r="DO21" i="7"/>
  <c r="DO17" i="7"/>
  <c r="DO13" i="7"/>
  <c r="DO16" i="7"/>
  <c r="DO20" i="7"/>
  <c r="DO19" i="7"/>
  <c r="DO15" i="7"/>
  <c r="DO11" i="7"/>
  <c r="DO12" i="7"/>
  <c r="DE22" i="4"/>
  <c r="DR10" i="10" l="1"/>
  <c r="DR20" i="10"/>
  <c r="DR17" i="10"/>
  <c r="DR13" i="10"/>
  <c r="DR15" i="10"/>
  <c r="DR19" i="10"/>
  <c r="DR18" i="10"/>
  <c r="DR11" i="10"/>
  <c r="DO22" i="10"/>
  <c r="DP22" i="10" s="1"/>
  <c r="DR12" i="10"/>
  <c r="DR15" i="7"/>
  <c r="DR11" i="7"/>
  <c r="DR16" i="7"/>
  <c r="DO22" i="7"/>
  <c r="DP22" i="7" s="1"/>
  <c r="DR9" i="7"/>
  <c r="DR13" i="7"/>
  <c r="DR10" i="7"/>
  <c r="DR19" i="7"/>
  <c r="DR17" i="7"/>
  <c r="DR14" i="7"/>
  <c r="DR12" i="7"/>
  <c r="DR20" i="7"/>
  <c r="DR21" i="7"/>
  <c r="DR18" i="7"/>
  <c r="DG9" i="4"/>
  <c r="DH9" i="4" s="1"/>
  <c r="DG10" i="4"/>
  <c r="DH10" i="4" s="1"/>
  <c r="DG12" i="4"/>
  <c r="DH12" i="4" s="1"/>
  <c r="DG14" i="4"/>
  <c r="DH14" i="4" s="1"/>
  <c r="DG16" i="4"/>
  <c r="DH16" i="4" s="1"/>
  <c r="DG18" i="4"/>
  <c r="DH18" i="4" s="1"/>
  <c r="DG20" i="4"/>
  <c r="DH20" i="4" s="1"/>
  <c r="DG13" i="4"/>
  <c r="DH13" i="4" s="1"/>
  <c r="DG15" i="4"/>
  <c r="DH15" i="4" s="1"/>
  <c r="DG17" i="4"/>
  <c r="DH17" i="4" s="1"/>
  <c r="DG19" i="4"/>
  <c r="DH19" i="4" s="1"/>
  <c r="DG21" i="4"/>
  <c r="DH21" i="4" s="1"/>
  <c r="DG11" i="4"/>
  <c r="DH11" i="4" s="1"/>
  <c r="DQ22" i="10" l="1"/>
  <c r="DS21" i="10" s="1"/>
  <c r="DT21" i="10" s="1"/>
  <c r="DQ22" i="7"/>
  <c r="DH22" i="4"/>
  <c r="DS9" i="10" l="1"/>
  <c r="DT9" i="10" s="1"/>
  <c r="DS17" i="10"/>
  <c r="DT17" i="10" s="1"/>
  <c r="DS20" i="10"/>
  <c r="DT20" i="10" s="1"/>
  <c r="DS10" i="10"/>
  <c r="DT10" i="10" s="1"/>
  <c r="DS19" i="10"/>
  <c r="DT19" i="10" s="1"/>
  <c r="DS16" i="10"/>
  <c r="DT16" i="10" s="1"/>
  <c r="DS11" i="10"/>
  <c r="DT11" i="10" s="1"/>
  <c r="DS13" i="10"/>
  <c r="DT13" i="10" s="1"/>
  <c r="DS18" i="10"/>
  <c r="DT18" i="10" s="1"/>
  <c r="DS15" i="10"/>
  <c r="DT15" i="10" s="1"/>
  <c r="DS12" i="10"/>
  <c r="DT12" i="10" s="1"/>
  <c r="DS14" i="10"/>
  <c r="DT14" i="10" s="1"/>
  <c r="DS21" i="7"/>
  <c r="DT21" i="7" s="1"/>
  <c r="DS20" i="7"/>
  <c r="DT20" i="7" s="1"/>
  <c r="DS18" i="7"/>
  <c r="DT18" i="7" s="1"/>
  <c r="DS19" i="7"/>
  <c r="DT19" i="7" s="1"/>
  <c r="DS16" i="7"/>
  <c r="DT16" i="7" s="1"/>
  <c r="DS15" i="7"/>
  <c r="DT15" i="7" s="1"/>
  <c r="DS14" i="7"/>
  <c r="DT14" i="7" s="1"/>
  <c r="DS13" i="7"/>
  <c r="DT13" i="7" s="1"/>
  <c r="DS12" i="7"/>
  <c r="DT12" i="7" s="1"/>
  <c r="DS11" i="7"/>
  <c r="DT11" i="7" s="1"/>
  <c r="DS10" i="7"/>
  <c r="DT10" i="7" s="1"/>
  <c r="DS17" i="7"/>
  <c r="DT17" i="7" s="1"/>
  <c r="DS9" i="7"/>
  <c r="DT9" i="7" s="1"/>
  <c r="DI12" i="4"/>
  <c r="DI14" i="4"/>
  <c r="DI11" i="4"/>
  <c r="DI15" i="4"/>
  <c r="DI18" i="4"/>
  <c r="DI19" i="4"/>
  <c r="DI16" i="4"/>
  <c r="DI20" i="4"/>
  <c r="DI9" i="4"/>
  <c r="DI13" i="4"/>
  <c r="DI10" i="4"/>
  <c r="DI17" i="4"/>
  <c r="DI21" i="4"/>
  <c r="DT22" i="10" l="1"/>
  <c r="DU18" i="10" s="1"/>
  <c r="DT22" i="7"/>
  <c r="DU21" i="7" s="1"/>
  <c r="DL17" i="4"/>
  <c r="DL20" i="4"/>
  <c r="DL15" i="4"/>
  <c r="DL16" i="4"/>
  <c r="DL11" i="4"/>
  <c r="DL10" i="4"/>
  <c r="DL13" i="4"/>
  <c r="DL19" i="4"/>
  <c r="DL14" i="4"/>
  <c r="DL21" i="4"/>
  <c r="DI22" i="4"/>
  <c r="DJ22" i="4" s="1"/>
  <c r="DL9" i="4"/>
  <c r="DL18" i="4"/>
  <c r="DL12" i="4"/>
  <c r="DU19" i="10" l="1"/>
  <c r="DX19" i="10" s="1"/>
  <c r="DU13" i="10"/>
  <c r="DU10" i="10"/>
  <c r="DX10" i="10" s="1"/>
  <c r="DU12" i="10"/>
  <c r="DX12" i="10" s="1"/>
  <c r="DU15" i="10"/>
  <c r="DU9" i="10"/>
  <c r="DU11" i="10"/>
  <c r="DX11" i="10" s="1"/>
  <c r="DU14" i="10"/>
  <c r="DX14" i="10" s="1"/>
  <c r="DU21" i="10"/>
  <c r="DU16" i="10"/>
  <c r="DU20" i="10"/>
  <c r="DX20" i="10" s="1"/>
  <c r="DU17" i="10"/>
  <c r="DX17" i="10" s="1"/>
  <c r="DU17" i="7"/>
  <c r="DX17" i="7" s="1"/>
  <c r="DU19" i="7"/>
  <c r="DX19" i="7" s="1"/>
  <c r="DU12" i="7"/>
  <c r="DX12" i="7" s="1"/>
  <c r="DU10" i="7"/>
  <c r="DX10" i="7" s="1"/>
  <c r="DU15" i="7"/>
  <c r="DX15" i="7" s="1"/>
  <c r="DU11" i="7"/>
  <c r="DX11" i="7" s="1"/>
  <c r="DU16" i="7"/>
  <c r="DX16" i="7" s="1"/>
  <c r="DU20" i="7"/>
  <c r="DX20" i="7" s="1"/>
  <c r="DU18" i="7"/>
  <c r="DX18" i="7" s="1"/>
  <c r="DU9" i="7"/>
  <c r="DX9" i="7" s="1"/>
  <c r="DU13" i="7"/>
  <c r="DX13" i="7" s="1"/>
  <c r="DU14" i="7"/>
  <c r="DX14" i="7" s="1"/>
  <c r="DX15" i="10"/>
  <c r="DX9" i="10"/>
  <c r="DX16" i="10"/>
  <c r="DX18" i="10"/>
  <c r="DX13" i="10"/>
  <c r="DX21" i="10"/>
  <c r="DX21" i="7"/>
  <c r="DK22" i="4"/>
  <c r="DU22" i="10" l="1"/>
  <c r="DV22" i="10" s="1"/>
  <c r="DU22" i="7"/>
  <c r="DV22" i="7" s="1"/>
  <c r="DW22" i="10"/>
  <c r="DW22" i="7"/>
  <c r="DM10" i="4"/>
  <c r="DN10" i="4" s="1"/>
  <c r="DM12" i="4"/>
  <c r="DN12" i="4" s="1"/>
  <c r="DM14" i="4"/>
  <c r="DN14" i="4" s="1"/>
  <c r="DM16" i="4"/>
  <c r="DN16" i="4" s="1"/>
  <c r="DM18" i="4"/>
  <c r="DN18" i="4" s="1"/>
  <c r="DM20" i="4"/>
  <c r="DN20" i="4" s="1"/>
  <c r="DM9" i="4"/>
  <c r="DN9" i="4" s="1"/>
  <c r="DM11" i="4"/>
  <c r="DN11" i="4" s="1"/>
  <c r="DM13" i="4"/>
  <c r="DN13" i="4" s="1"/>
  <c r="DM15" i="4"/>
  <c r="DN15" i="4" s="1"/>
  <c r="DM17" i="4"/>
  <c r="DN17" i="4" s="1"/>
  <c r="DM19" i="4"/>
  <c r="DN19" i="4" s="1"/>
  <c r="DM21" i="4"/>
  <c r="DN21" i="4" s="1"/>
  <c r="DY20" i="10" l="1"/>
  <c r="DZ20" i="10" s="1"/>
  <c r="DY17" i="10"/>
  <c r="DZ17" i="10" s="1"/>
  <c r="DY15" i="10"/>
  <c r="DZ15" i="10" s="1"/>
  <c r="DY21" i="10"/>
  <c r="DZ21" i="10" s="1"/>
  <c r="DY14" i="10"/>
  <c r="DZ14" i="10" s="1"/>
  <c r="DY13" i="10"/>
  <c r="DZ13" i="10" s="1"/>
  <c r="DY19" i="10"/>
  <c r="DZ19" i="10" s="1"/>
  <c r="DY12" i="10"/>
  <c r="DZ12" i="10" s="1"/>
  <c r="DY11" i="10"/>
  <c r="DZ11" i="10" s="1"/>
  <c r="DY10" i="10"/>
  <c r="DZ10" i="10" s="1"/>
  <c r="DY9" i="10"/>
  <c r="DZ9" i="10" s="1"/>
  <c r="DY16" i="10"/>
  <c r="DZ16" i="10" s="1"/>
  <c r="DY18" i="10"/>
  <c r="DZ18" i="10" s="1"/>
  <c r="DY21" i="7"/>
  <c r="DZ21" i="7" s="1"/>
  <c r="DY20" i="7"/>
  <c r="DZ20" i="7" s="1"/>
  <c r="DY18" i="7"/>
  <c r="DZ18" i="7" s="1"/>
  <c r="DY19" i="7"/>
  <c r="DZ19" i="7" s="1"/>
  <c r="DY16" i="7"/>
  <c r="DZ16" i="7" s="1"/>
  <c r="DY15" i="7"/>
  <c r="DZ15" i="7" s="1"/>
  <c r="DY14" i="7"/>
  <c r="DZ14" i="7" s="1"/>
  <c r="DY13" i="7"/>
  <c r="DZ13" i="7" s="1"/>
  <c r="DY12" i="7"/>
  <c r="DZ12" i="7" s="1"/>
  <c r="DY17" i="7"/>
  <c r="DZ17" i="7" s="1"/>
  <c r="DY9" i="7"/>
  <c r="DZ9" i="7" s="1"/>
  <c r="DY11" i="7"/>
  <c r="DZ11" i="7" s="1"/>
  <c r="DY10" i="7"/>
  <c r="DZ10" i="7" s="1"/>
  <c r="DN22" i="4"/>
  <c r="DZ22" i="10" l="1"/>
  <c r="EA10" i="10" s="1"/>
  <c r="DZ22" i="7"/>
  <c r="DO9" i="4"/>
  <c r="DO10" i="4"/>
  <c r="DO15" i="4"/>
  <c r="DO20" i="4"/>
  <c r="DO14" i="4"/>
  <c r="DO19" i="4"/>
  <c r="DO13" i="4"/>
  <c r="DO17" i="4"/>
  <c r="DO18" i="4"/>
  <c r="DO12" i="4"/>
  <c r="DO21" i="4"/>
  <c r="DO11" i="4"/>
  <c r="DO16" i="4"/>
  <c r="EA18" i="10" l="1"/>
  <c r="EA13" i="10"/>
  <c r="EA12" i="10"/>
  <c r="EA15" i="10"/>
  <c r="EA19" i="10"/>
  <c r="EA20" i="10"/>
  <c r="EA14" i="10"/>
  <c r="EA16" i="10"/>
  <c r="EA11" i="10"/>
  <c r="EA17" i="10"/>
  <c r="EA9" i="10"/>
  <c r="ED9" i="10" s="1"/>
  <c r="EA21" i="10"/>
  <c r="ED19" i="10"/>
  <c r="ED20" i="10"/>
  <c r="ED10" i="10"/>
  <c r="ED16" i="10"/>
  <c r="EA18" i="7"/>
  <c r="EA14" i="7"/>
  <c r="EA10" i="7"/>
  <c r="EA17" i="7"/>
  <c r="EA9" i="7"/>
  <c r="EA21" i="7"/>
  <c r="EA13" i="7"/>
  <c r="EA20" i="7"/>
  <c r="EA16" i="7"/>
  <c r="EA12" i="7"/>
  <c r="EA19" i="7"/>
  <c r="EA15" i="7"/>
  <c r="EA11" i="7"/>
  <c r="DR11" i="4"/>
  <c r="DR17" i="4"/>
  <c r="DR20" i="4"/>
  <c r="DR13" i="4"/>
  <c r="DR15" i="4"/>
  <c r="DR21" i="4"/>
  <c r="DR12" i="4"/>
  <c r="DR19" i="4"/>
  <c r="DR10" i="4"/>
  <c r="DR16" i="4"/>
  <c r="DR18" i="4"/>
  <c r="DR14" i="4"/>
  <c r="DO22" i="4"/>
  <c r="DP22" i="4" s="1"/>
  <c r="DR9" i="4"/>
  <c r="ED14" i="10" l="1"/>
  <c r="ED12" i="10"/>
  <c r="ED17" i="10"/>
  <c r="ED13" i="10"/>
  <c r="ED11" i="10"/>
  <c r="ED18" i="10"/>
  <c r="ED21" i="10"/>
  <c r="ED15" i="10"/>
  <c r="EA22" i="10"/>
  <c r="EB22" i="10" s="1"/>
  <c r="ED15" i="7"/>
  <c r="ED20" i="7"/>
  <c r="ED17" i="7"/>
  <c r="ED13" i="7"/>
  <c r="ED10" i="7"/>
  <c r="ED19" i="7"/>
  <c r="ED12" i="7"/>
  <c r="ED21" i="7"/>
  <c r="ED14" i="7"/>
  <c r="ED11" i="7"/>
  <c r="ED16" i="7"/>
  <c r="EA22" i="7"/>
  <c r="EB22" i="7" s="1"/>
  <c r="ED9" i="7"/>
  <c r="ED18" i="7"/>
  <c r="DQ22" i="4"/>
  <c r="DS9" i="4" s="1"/>
  <c r="DT9" i="4" s="1"/>
  <c r="EC22" i="10" l="1"/>
  <c r="EE21" i="10" s="1"/>
  <c r="EF21" i="10" s="1"/>
  <c r="EC22" i="7"/>
  <c r="EE19" i="7" s="1"/>
  <c r="EF19" i="7" s="1"/>
  <c r="DS19" i="4"/>
  <c r="DT19" i="4" s="1"/>
  <c r="DS11" i="4"/>
  <c r="DT11" i="4" s="1"/>
  <c r="DS14" i="4"/>
  <c r="DT14" i="4" s="1"/>
  <c r="DS17" i="4"/>
  <c r="DT17" i="4" s="1"/>
  <c r="DS20" i="4"/>
  <c r="DT20" i="4" s="1"/>
  <c r="DS12" i="4"/>
  <c r="DT12" i="4" s="1"/>
  <c r="DS15" i="4"/>
  <c r="DT15" i="4" s="1"/>
  <c r="DS18" i="4"/>
  <c r="DT18" i="4" s="1"/>
  <c r="DS10" i="4"/>
  <c r="DT10" i="4" s="1"/>
  <c r="DS21" i="4"/>
  <c r="DT21" i="4" s="1"/>
  <c r="DS13" i="4"/>
  <c r="DT13" i="4" s="1"/>
  <c r="DS16" i="4"/>
  <c r="DT16" i="4" s="1"/>
  <c r="EE17" i="10" l="1"/>
  <c r="EF17" i="10" s="1"/>
  <c r="EE12" i="10"/>
  <c r="EF12" i="10" s="1"/>
  <c r="EE18" i="10"/>
  <c r="EF18" i="10" s="1"/>
  <c r="EE14" i="10"/>
  <c r="EF14" i="10" s="1"/>
  <c r="EE11" i="10"/>
  <c r="EF11" i="10" s="1"/>
  <c r="EE9" i="10"/>
  <c r="EF9" i="10" s="1"/>
  <c r="EE15" i="10"/>
  <c r="EF15" i="10" s="1"/>
  <c r="EE20" i="10"/>
  <c r="EF20" i="10" s="1"/>
  <c r="EE10" i="10"/>
  <c r="EF10" i="10" s="1"/>
  <c r="EE13" i="10"/>
  <c r="EF13" i="10" s="1"/>
  <c r="EE19" i="10"/>
  <c r="EF19" i="10" s="1"/>
  <c r="EE16" i="10"/>
  <c r="EF16" i="10" s="1"/>
  <c r="EE11" i="7"/>
  <c r="EF11" i="7" s="1"/>
  <c r="EE18" i="7"/>
  <c r="EF18" i="7" s="1"/>
  <c r="EE17" i="7"/>
  <c r="EF17" i="7" s="1"/>
  <c r="EE15" i="7"/>
  <c r="EF15" i="7" s="1"/>
  <c r="EE20" i="7"/>
  <c r="EF20" i="7" s="1"/>
  <c r="EE12" i="7"/>
  <c r="EF12" i="7" s="1"/>
  <c r="EE16" i="7"/>
  <c r="EF16" i="7" s="1"/>
  <c r="EE21" i="7"/>
  <c r="EF21" i="7" s="1"/>
  <c r="EE14" i="7"/>
  <c r="EF14" i="7" s="1"/>
  <c r="EE9" i="7"/>
  <c r="EF9" i="7" s="1"/>
  <c r="EE10" i="7"/>
  <c r="EF10" i="7" s="1"/>
  <c r="EE13" i="7"/>
  <c r="EF13" i="7" s="1"/>
  <c r="DT22" i="4"/>
  <c r="DU10" i="4" s="1"/>
  <c r="EF22" i="10" l="1"/>
  <c r="EG12" i="10" s="1"/>
  <c r="EF22" i="7"/>
  <c r="EG14" i="7" s="1"/>
  <c r="DU9" i="4"/>
  <c r="DX9" i="4" s="1"/>
  <c r="DU12" i="4"/>
  <c r="DX12" i="4" s="1"/>
  <c r="DU19" i="4"/>
  <c r="DX19" i="4" s="1"/>
  <c r="DU16" i="4"/>
  <c r="DX16" i="4" s="1"/>
  <c r="DU20" i="4"/>
  <c r="DX20" i="4" s="1"/>
  <c r="DU15" i="4"/>
  <c r="DX15" i="4" s="1"/>
  <c r="DU21" i="4"/>
  <c r="DX21" i="4" s="1"/>
  <c r="DU11" i="4"/>
  <c r="DX11" i="4" s="1"/>
  <c r="DU17" i="4"/>
  <c r="DX17" i="4" s="1"/>
  <c r="DU13" i="4"/>
  <c r="DX13" i="4" s="1"/>
  <c r="DU18" i="4"/>
  <c r="DX18" i="4" s="1"/>
  <c r="DU14" i="4"/>
  <c r="DX14" i="4" s="1"/>
  <c r="DX10" i="4"/>
  <c r="EG14" i="10" l="1"/>
  <c r="EG15" i="10"/>
  <c r="EG13" i="10"/>
  <c r="EJ13" i="10" s="1"/>
  <c r="EG20" i="10"/>
  <c r="EG18" i="10"/>
  <c r="EG10" i="10"/>
  <c r="EJ10" i="10" s="1"/>
  <c r="EG9" i="10"/>
  <c r="EJ9" i="10" s="1"/>
  <c r="EG17" i="10"/>
  <c r="EJ17" i="10" s="1"/>
  <c r="EG16" i="10"/>
  <c r="EG21" i="10"/>
  <c r="EJ21" i="10" s="1"/>
  <c r="EG19" i="10"/>
  <c r="EJ19" i="10" s="1"/>
  <c r="EG11" i="10"/>
  <c r="EJ11" i="10" s="1"/>
  <c r="EG19" i="7"/>
  <c r="EJ19" i="7" s="1"/>
  <c r="EG10" i="7"/>
  <c r="EJ10" i="7" s="1"/>
  <c r="EG11" i="7"/>
  <c r="EJ11" i="7" s="1"/>
  <c r="EG21" i="7"/>
  <c r="EJ21" i="7" s="1"/>
  <c r="EG16" i="7"/>
  <c r="EG18" i="7"/>
  <c r="EJ18" i="7" s="1"/>
  <c r="EG20" i="7"/>
  <c r="EJ20" i="7" s="1"/>
  <c r="EG9" i="7"/>
  <c r="EJ9" i="7" s="1"/>
  <c r="EG12" i="7"/>
  <c r="EJ12" i="7" s="1"/>
  <c r="EG13" i="7"/>
  <c r="EJ13" i="7" s="1"/>
  <c r="EG17" i="7"/>
  <c r="EJ17" i="7" s="1"/>
  <c r="EG15" i="7"/>
  <c r="DU22" i="4"/>
  <c r="DV22" i="4" s="1"/>
  <c r="EJ12" i="10"/>
  <c r="EJ18" i="10"/>
  <c r="EJ20" i="10"/>
  <c r="EJ14" i="10"/>
  <c r="EJ15" i="10"/>
  <c r="EJ16" i="10"/>
  <c r="EJ14" i="7"/>
  <c r="EJ16" i="7"/>
  <c r="DW22" i="4"/>
  <c r="EG22" i="10" l="1"/>
  <c r="EH22" i="10" s="1"/>
  <c r="EG22" i="7"/>
  <c r="EH22" i="7" s="1"/>
  <c r="EJ15" i="7"/>
  <c r="EI22" i="7" s="1"/>
  <c r="EI22" i="10"/>
  <c r="DY10" i="4"/>
  <c r="DZ10" i="4" s="1"/>
  <c r="DY12" i="4"/>
  <c r="DZ12" i="4" s="1"/>
  <c r="DY14" i="4"/>
  <c r="DZ14" i="4" s="1"/>
  <c r="DY16" i="4"/>
  <c r="DZ16" i="4" s="1"/>
  <c r="DY18" i="4"/>
  <c r="DZ18" i="4" s="1"/>
  <c r="DY20" i="4"/>
  <c r="DZ20" i="4" s="1"/>
  <c r="DY9" i="4"/>
  <c r="DZ9" i="4" s="1"/>
  <c r="DY11" i="4"/>
  <c r="DZ11" i="4" s="1"/>
  <c r="DY13" i="4"/>
  <c r="DZ13" i="4" s="1"/>
  <c r="DY15" i="4"/>
  <c r="DZ15" i="4" s="1"/>
  <c r="DY17" i="4"/>
  <c r="DZ17" i="4" s="1"/>
  <c r="DY19" i="4"/>
  <c r="DZ19" i="4" s="1"/>
  <c r="DY21" i="4"/>
  <c r="DZ21" i="4" s="1"/>
  <c r="EK20" i="10" l="1"/>
  <c r="EL20" i="10" s="1"/>
  <c r="EK19" i="10"/>
  <c r="EL19" i="10" s="1"/>
  <c r="EK21" i="10"/>
  <c r="EL21" i="10" s="1"/>
  <c r="EK17" i="10"/>
  <c r="EL17" i="10" s="1"/>
  <c r="EK15" i="10"/>
  <c r="EL15" i="10" s="1"/>
  <c r="EK14" i="10"/>
  <c r="EL14" i="10" s="1"/>
  <c r="EK13" i="10"/>
  <c r="EL13" i="10" s="1"/>
  <c r="EK18" i="10"/>
  <c r="EL18" i="10" s="1"/>
  <c r="EK16" i="10"/>
  <c r="EL16" i="10" s="1"/>
  <c r="EK12" i="10"/>
  <c r="EL12" i="10" s="1"/>
  <c r="EK11" i="10"/>
  <c r="EL11" i="10" s="1"/>
  <c r="EK10" i="10"/>
  <c r="EL10" i="10" s="1"/>
  <c r="EK9" i="10"/>
  <c r="EL9" i="10" s="1"/>
  <c r="EK21" i="7"/>
  <c r="EL21" i="7" s="1"/>
  <c r="EK20" i="7"/>
  <c r="EL20" i="7" s="1"/>
  <c r="EK18" i="7"/>
  <c r="EL18" i="7" s="1"/>
  <c r="EK19" i="7"/>
  <c r="EL19" i="7" s="1"/>
  <c r="EK16" i="7"/>
  <c r="EL16" i="7" s="1"/>
  <c r="EK15" i="7"/>
  <c r="EL15" i="7" s="1"/>
  <c r="EK14" i="7"/>
  <c r="EL14" i="7" s="1"/>
  <c r="EK13" i="7"/>
  <c r="EL13" i="7" s="1"/>
  <c r="EK12" i="7"/>
  <c r="EL12" i="7" s="1"/>
  <c r="EK9" i="7"/>
  <c r="EL9" i="7" s="1"/>
  <c r="EK17" i="7"/>
  <c r="EL17" i="7" s="1"/>
  <c r="EK11" i="7"/>
  <c r="EL11" i="7" s="1"/>
  <c r="EK10" i="7"/>
  <c r="EL10" i="7" s="1"/>
  <c r="DZ22" i="4"/>
  <c r="EL22" i="10" l="1"/>
  <c r="EM18" i="10" s="1"/>
  <c r="EL22" i="7"/>
  <c r="EA12" i="4"/>
  <c r="EA14" i="4"/>
  <c r="EA11" i="4"/>
  <c r="EA15" i="4"/>
  <c r="EA16" i="4"/>
  <c r="EA18" i="4"/>
  <c r="EA19" i="4"/>
  <c r="EA20" i="4"/>
  <c r="EA9" i="4"/>
  <c r="EA13" i="4"/>
  <c r="EA10" i="4"/>
  <c r="EA17" i="4"/>
  <c r="EA21" i="4"/>
  <c r="EM13" i="10" l="1"/>
  <c r="EM19" i="10"/>
  <c r="EM15" i="10"/>
  <c r="EP15" i="10" s="1"/>
  <c r="EM16" i="10"/>
  <c r="EM9" i="10"/>
  <c r="EP9" i="10" s="1"/>
  <c r="EM10" i="10"/>
  <c r="EM14" i="10"/>
  <c r="EM17" i="10"/>
  <c r="EM11" i="10"/>
  <c r="EM12" i="10"/>
  <c r="EM21" i="10"/>
  <c r="EM20" i="10"/>
  <c r="EP12" i="10"/>
  <c r="EP18" i="10"/>
  <c r="EP10" i="10"/>
  <c r="EM18" i="7"/>
  <c r="EM14" i="7"/>
  <c r="EM10" i="7"/>
  <c r="EM17" i="7"/>
  <c r="EM9" i="7"/>
  <c r="EM21" i="7"/>
  <c r="EM13" i="7"/>
  <c r="EM20" i="7"/>
  <c r="EM16" i="7"/>
  <c r="EM12" i="7"/>
  <c r="EM19" i="7"/>
  <c r="EM15" i="7"/>
  <c r="EM11" i="7"/>
  <c r="ED17" i="4"/>
  <c r="ED20" i="4"/>
  <c r="ED15" i="4"/>
  <c r="ED19" i="4"/>
  <c r="ED11" i="4"/>
  <c r="ED10" i="4"/>
  <c r="ED13" i="4"/>
  <c r="ED18" i="4"/>
  <c r="ED14" i="4"/>
  <c r="ED21" i="4"/>
  <c r="EA22" i="4"/>
  <c r="EB22" i="4" s="1"/>
  <c r="ED9" i="4"/>
  <c r="ED16" i="4"/>
  <c r="ED12" i="4"/>
  <c r="EP21" i="10" l="1"/>
  <c r="EP14" i="10"/>
  <c r="EP19" i="10"/>
  <c r="EP11" i="10"/>
  <c r="EP13" i="10"/>
  <c r="EP20" i="10"/>
  <c r="EP17" i="10"/>
  <c r="EP16" i="10"/>
  <c r="EM22" i="10"/>
  <c r="EN22" i="10" s="1"/>
  <c r="EP15" i="7"/>
  <c r="EP20" i="7"/>
  <c r="EP17" i="7"/>
  <c r="EP13" i="7"/>
  <c r="EP10" i="7"/>
  <c r="EP19" i="7"/>
  <c r="EP12" i="7"/>
  <c r="EP21" i="7"/>
  <c r="EP14" i="7"/>
  <c r="EP11" i="7"/>
  <c r="EP16" i="7"/>
  <c r="EM22" i="7"/>
  <c r="EN22" i="7" s="1"/>
  <c r="EP9" i="7"/>
  <c r="EP18" i="7"/>
  <c r="EC22" i="4"/>
  <c r="EO22" i="10" l="1"/>
  <c r="EQ21" i="10" s="1"/>
  <c r="ER21" i="10" s="1"/>
  <c r="EO22" i="7"/>
  <c r="EE10" i="4"/>
  <c r="EF10" i="4" s="1"/>
  <c r="EE12" i="4"/>
  <c r="EF12" i="4" s="1"/>
  <c r="EE14" i="4"/>
  <c r="EF14" i="4" s="1"/>
  <c r="EE16" i="4"/>
  <c r="EF16" i="4" s="1"/>
  <c r="EE18" i="4"/>
  <c r="EF18" i="4" s="1"/>
  <c r="EE20" i="4"/>
  <c r="EF20" i="4" s="1"/>
  <c r="EE9" i="4"/>
  <c r="EF9" i="4" s="1"/>
  <c r="EE11" i="4"/>
  <c r="EF11" i="4" s="1"/>
  <c r="EE13" i="4"/>
  <c r="EF13" i="4" s="1"/>
  <c r="EE15" i="4"/>
  <c r="EF15" i="4" s="1"/>
  <c r="EE17" i="4"/>
  <c r="EF17" i="4" s="1"/>
  <c r="EE19" i="4"/>
  <c r="EF19" i="4" s="1"/>
  <c r="EE21" i="4"/>
  <c r="EF21" i="4" s="1"/>
  <c r="EQ9" i="10" l="1"/>
  <c r="ER9" i="10" s="1"/>
  <c r="EQ17" i="10"/>
  <c r="ER17" i="10" s="1"/>
  <c r="EQ16" i="10"/>
  <c r="ER16" i="10" s="1"/>
  <c r="EQ10" i="10"/>
  <c r="ER10" i="10" s="1"/>
  <c r="EQ13" i="10"/>
  <c r="ER13" i="10" s="1"/>
  <c r="EQ18" i="10"/>
  <c r="ER18" i="10" s="1"/>
  <c r="EQ11" i="10"/>
  <c r="ER11" i="10" s="1"/>
  <c r="EQ14" i="10"/>
  <c r="ER14" i="10" s="1"/>
  <c r="EQ20" i="10"/>
  <c r="ER20" i="10" s="1"/>
  <c r="EQ15" i="10"/>
  <c r="ER15" i="10" s="1"/>
  <c r="EQ12" i="10"/>
  <c r="ER12" i="10" s="1"/>
  <c r="EQ19" i="10"/>
  <c r="ER19" i="10" s="1"/>
  <c r="EQ21" i="7"/>
  <c r="ER21" i="7" s="1"/>
  <c r="EQ20" i="7"/>
  <c r="ER20" i="7" s="1"/>
  <c r="EQ18" i="7"/>
  <c r="ER18" i="7" s="1"/>
  <c r="EQ17" i="7"/>
  <c r="ER17" i="7" s="1"/>
  <c r="EQ19" i="7"/>
  <c r="ER19" i="7" s="1"/>
  <c r="EQ16" i="7"/>
  <c r="ER16" i="7" s="1"/>
  <c r="EQ15" i="7"/>
  <c r="ER15" i="7" s="1"/>
  <c r="EQ14" i="7"/>
  <c r="ER14" i="7" s="1"/>
  <c r="EQ13" i="7"/>
  <c r="ER13" i="7" s="1"/>
  <c r="EQ12" i="7"/>
  <c r="ER12" i="7" s="1"/>
  <c r="EQ11" i="7"/>
  <c r="ER11" i="7" s="1"/>
  <c r="EQ10" i="7"/>
  <c r="ER10" i="7" s="1"/>
  <c r="EQ9" i="7"/>
  <c r="ER9" i="7" s="1"/>
  <c r="EF22" i="4"/>
  <c r="ER22" i="10" l="1"/>
  <c r="ES21" i="10" s="1"/>
  <c r="EV21" i="10" s="1"/>
  <c r="ER22" i="7"/>
  <c r="EG12" i="4"/>
  <c r="EG14" i="4"/>
  <c r="EG11" i="4"/>
  <c r="EG15" i="4"/>
  <c r="EG16" i="4"/>
  <c r="EG18" i="4"/>
  <c r="EG19" i="4"/>
  <c r="EG9" i="4"/>
  <c r="EG20" i="4"/>
  <c r="EG13" i="4"/>
  <c r="EG10" i="4"/>
  <c r="EG17" i="4"/>
  <c r="EG21" i="4"/>
  <c r="ES10" i="10" l="1"/>
  <c r="EV10" i="10" s="1"/>
  <c r="ES11" i="10"/>
  <c r="ES16" i="10"/>
  <c r="EV16" i="10" s="1"/>
  <c r="ES12" i="10"/>
  <c r="EV12" i="10" s="1"/>
  <c r="ES20" i="10"/>
  <c r="EV20" i="10" s="1"/>
  <c r="ES13" i="10"/>
  <c r="EV13" i="10" s="1"/>
  <c r="ES17" i="10"/>
  <c r="EV17" i="10" s="1"/>
  <c r="ES15" i="10"/>
  <c r="EV15" i="10" s="1"/>
  <c r="ES9" i="10"/>
  <c r="EV9" i="10" s="1"/>
  <c r="ES18" i="10"/>
  <c r="ES19" i="10"/>
  <c r="EV19" i="10" s="1"/>
  <c r="ES14" i="10"/>
  <c r="EV14" i="10" s="1"/>
  <c r="EV18" i="10"/>
  <c r="EV11" i="10"/>
  <c r="ES18" i="7"/>
  <c r="ES14" i="7"/>
  <c r="ES10" i="7"/>
  <c r="ES21" i="7"/>
  <c r="ES17" i="7"/>
  <c r="ES13" i="7"/>
  <c r="ES9" i="7"/>
  <c r="ES16" i="7"/>
  <c r="ES20" i="7"/>
  <c r="ES19" i="7"/>
  <c r="ES15" i="7"/>
  <c r="ES11" i="7"/>
  <c r="ES12" i="7"/>
  <c r="EJ17" i="4"/>
  <c r="EG22" i="4"/>
  <c r="EH22" i="4" s="1"/>
  <c r="EJ9" i="4"/>
  <c r="EJ15" i="4"/>
  <c r="EJ19" i="4"/>
  <c r="EJ11" i="4"/>
  <c r="EJ10" i="4"/>
  <c r="EJ13" i="4"/>
  <c r="EJ18" i="4"/>
  <c r="EJ14" i="4"/>
  <c r="EJ21" i="4"/>
  <c r="EJ20" i="4"/>
  <c r="EJ16" i="4"/>
  <c r="EJ12" i="4"/>
  <c r="ES22" i="10" l="1"/>
  <c r="ET22" i="10" s="1"/>
  <c r="EU22" i="10"/>
  <c r="EW20" i="10" s="1"/>
  <c r="EX20" i="10" s="1"/>
  <c r="EV11" i="7"/>
  <c r="EV16" i="7"/>
  <c r="EV21" i="7"/>
  <c r="ES22" i="7"/>
  <c r="ET22" i="7" s="1"/>
  <c r="EV9" i="7"/>
  <c r="EV10" i="7"/>
  <c r="EV15" i="7"/>
  <c r="EV19" i="7"/>
  <c r="EV13" i="7"/>
  <c r="EV14" i="7"/>
  <c r="EV12" i="7"/>
  <c r="EV20" i="7"/>
  <c r="EV17" i="7"/>
  <c r="EV18" i="7"/>
  <c r="EI22" i="4"/>
  <c r="EW18" i="10" l="1"/>
  <c r="EX18" i="10" s="1"/>
  <c r="EW12" i="10"/>
  <c r="EX12" i="10" s="1"/>
  <c r="EW17" i="10"/>
  <c r="EX17" i="10" s="1"/>
  <c r="EW9" i="10"/>
  <c r="EX9" i="10" s="1"/>
  <c r="EW13" i="10"/>
  <c r="EX13" i="10" s="1"/>
  <c r="EW19" i="10"/>
  <c r="EX19" i="10" s="1"/>
  <c r="EW14" i="10"/>
  <c r="EX14" i="10" s="1"/>
  <c r="EW10" i="10"/>
  <c r="EX10" i="10" s="1"/>
  <c r="EW21" i="10"/>
  <c r="EX21" i="10" s="1"/>
  <c r="EW16" i="10"/>
  <c r="EX16" i="10" s="1"/>
  <c r="EW11" i="10"/>
  <c r="EX11" i="10" s="1"/>
  <c r="EW15" i="10"/>
  <c r="EX15" i="10" s="1"/>
  <c r="EU22" i="7"/>
  <c r="EK10" i="4"/>
  <c r="EL10" i="4" s="1"/>
  <c r="EK12" i="4"/>
  <c r="EL12" i="4" s="1"/>
  <c r="EK14" i="4"/>
  <c r="EL14" i="4" s="1"/>
  <c r="EK16" i="4"/>
  <c r="EL16" i="4" s="1"/>
  <c r="EK18" i="4"/>
  <c r="EL18" i="4" s="1"/>
  <c r="EK20" i="4"/>
  <c r="EL20" i="4" s="1"/>
  <c r="EK9" i="4"/>
  <c r="EL9" i="4" s="1"/>
  <c r="EK11" i="4"/>
  <c r="EL11" i="4" s="1"/>
  <c r="EK13" i="4"/>
  <c r="EL13" i="4" s="1"/>
  <c r="EK15" i="4"/>
  <c r="EL15" i="4" s="1"/>
  <c r="EK17" i="4"/>
  <c r="EL17" i="4" s="1"/>
  <c r="EK19" i="4"/>
  <c r="EL19" i="4" s="1"/>
  <c r="EK21" i="4"/>
  <c r="EL21" i="4" s="1"/>
  <c r="EX22" i="10" l="1"/>
  <c r="EY21" i="10" s="1"/>
  <c r="EW21" i="7"/>
  <c r="EX21" i="7" s="1"/>
  <c r="EW20" i="7"/>
  <c r="EX20" i="7" s="1"/>
  <c r="EW18" i="7"/>
  <c r="EX18" i="7" s="1"/>
  <c r="EW17" i="7"/>
  <c r="EX17" i="7" s="1"/>
  <c r="EW19" i="7"/>
  <c r="EX19" i="7" s="1"/>
  <c r="EW16" i="7"/>
  <c r="EX16" i="7" s="1"/>
  <c r="EW15" i="7"/>
  <c r="EX15" i="7" s="1"/>
  <c r="EW14" i="7"/>
  <c r="EX14" i="7" s="1"/>
  <c r="EW13" i="7"/>
  <c r="EX13" i="7" s="1"/>
  <c r="EW12" i="7"/>
  <c r="EX12" i="7" s="1"/>
  <c r="EW10" i="7"/>
  <c r="EX10" i="7" s="1"/>
  <c r="EW9" i="7"/>
  <c r="EX9" i="7" s="1"/>
  <c r="EW11" i="7"/>
  <c r="EX11" i="7" s="1"/>
  <c r="EL22" i="4"/>
  <c r="EY13" i="10" l="1"/>
  <c r="EY9" i="10"/>
  <c r="EY10" i="10"/>
  <c r="FB10" i="10" s="1"/>
  <c r="EY14" i="10"/>
  <c r="FB14" i="10" s="1"/>
  <c r="EY12" i="10"/>
  <c r="FB12" i="10" s="1"/>
  <c r="EY17" i="10"/>
  <c r="EY18" i="10"/>
  <c r="FB18" i="10" s="1"/>
  <c r="EY20" i="10"/>
  <c r="FB20" i="10" s="1"/>
  <c r="EY19" i="10"/>
  <c r="FB19" i="10" s="1"/>
  <c r="EY11" i="10"/>
  <c r="EY15" i="10"/>
  <c r="EY16" i="10"/>
  <c r="FB16" i="10" s="1"/>
  <c r="FB13" i="10"/>
  <c r="FB9" i="10"/>
  <c r="FB17" i="10"/>
  <c r="FB11" i="10"/>
  <c r="FB21" i="10"/>
  <c r="EX22" i="7"/>
  <c r="EM12" i="4"/>
  <c r="EM14" i="4"/>
  <c r="EM11" i="4"/>
  <c r="EM15" i="4"/>
  <c r="EM9" i="4"/>
  <c r="EM16" i="4"/>
  <c r="EM18" i="4"/>
  <c r="EM19" i="4"/>
  <c r="EM20" i="4"/>
  <c r="EM10" i="4"/>
  <c r="EM17" i="4"/>
  <c r="EM21" i="4"/>
  <c r="EM13" i="4"/>
  <c r="EY22" i="10" l="1"/>
  <c r="EZ22" i="10" s="1"/>
  <c r="FB15" i="10"/>
  <c r="FA22" i="10" s="1"/>
  <c r="EY18" i="7"/>
  <c r="EY14" i="7"/>
  <c r="EY10" i="7"/>
  <c r="EY13" i="7"/>
  <c r="EY11" i="7"/>
  <c r="EY21" i="7"/>
  <c r="EY17" i="7"/>
  <c r="EY9" i="7"/>
  <c r="EY20" i="7"/>
  <c r="EY16" i="7"/>
  <c r="EY12" i="7"/>
  <c r="EY19" i="7"/>
  <c r="EY15" i="7"/>
  <c r="EP17" i="4"/>
  <c r="EP21" i="4"/>
  <c r="EP19" i="4"/>
  <c r="EP15" i="4"/>
  <c r="EP18" i="4"/>
  <c r="EP11" i="4"/>
  <c r="EP10" i="4"/>
  <c r="EP16" i="4"/>
  <c r="EP14" i="4"/>
  <c r="EP13" i="4"/>
  <c r="EP20" i="4"/>
  <c r="EM22" i="4"/>
  <c r="EN22" i="4" s="1"/>
  <c r="EP9" i="4"/>
  <c r="EP12" i="4"/>
  <c r="EO22" i="4" l="1"/>
  <c r="EQ12" i="4" s="1"/>
  <c r="ER12" i="4" s="1"/>
  <c r="FC21" i="10"/>
  <c r="FD21" i="10" s="1"/>
  <c r="FC19" i="10"/>
  <c r="FD19" i="10" s="1"/>
  <c r="FC20" i="10"/>
  <c r="FD20" i="10" s="1"/>
  <c r="FC18" i="10"/>
  <c r="FD18" i="10" s="1"/>
  <c r="FC16" i="10"/>
  <c r="FD16" i="10" s="1"/>
  <c r="FC14" i="10"/>
  <c r="FD14" i="10" s="1"/>
  <c r="FC13" i="10"/>
  <c r="FD13" i="10" s="1"/>
  <c r="FC12" i="10"/>
  <c r="FD12" i="10" s="1"/>
  <c r="FC15" i="10"/>
  <c r="FD15" i="10" s="1"/>
  <c r="FC11" i="10"/>
  <c r="FD11" i="10" s="1"/>
  <c r="FC10" i="10"/>
  <c r="FD10" i="10" s="1"/>
  <c r="FC9" i="10"/>
  <c r="FD9" i="10" s="1"/>
  <c r="FC17" i="10"/>
  <c r="FD17" i="10" s="1"/>
  <c r="FB19" i="7"/>
  <c r="EY22" i="7"/>
  <c r="EZ22" i="7" s="1"/>
  <c r="FB9" i="7"/>
  <c r="FB13" i="7"/>
  <c r="FB17" i="7"/>
  <c r="FB10" i="7"/>
  <c r="FB12" i="7"/>
  <c r="FB16" i="7"/>
  <c r="FB21" i="7"/>
  <c r="FB14" i="7"/>
  <c r="FB15" i="7"/>
  <c r="FB20" i="7"/>
  <c r="FB11" i="7"/>
  <c r="FB18" i="7"/>
  <c r="EQ17" i="4" l="1"/>
  <c r="ER17" i="4" s="1"/>
  <c r="EQ9" i="4"/>
  <c r="ER9" i="4" s="1"/>
  <c r="EQ14" i="4"/>
  <c r="ER14" i="4" s="1"/>
  <c r="EQ21" i="4"/>
  <c r="ER21" i="4" s="1"/>
  <c r="EQ13" i="4"/>
  <c r="ER13" i="4" s="1"/>
  <c r="EQ18" i="4"/>
  <c r="ER18" i="4" s="1"/>
  <c r="EQ10" i="4"/>
  <c r="ER10" i="4" s="1"/>
  <c r="EQ19" i="4"/>
  <c r="ER19" i="4" s="1"/>
  <c r="EQ11" i="4"/>
  <c r="ER11" i="4" s="1"/>
  <c r="EQ16" i="4"/>
  <c r="ER16" i="4" s="1"/>
  <c r="EQ15" i="4"/>
  <c r="ER15" i="4" s="1"/>
  <c r="EQ20" i="4"/>
  <c r="ER20" i="4" s="1"/>
  <c r="FD22" i="10"/>
  <c r="FA22" i="7"/>
  <c r="ER22" i="4" l="1"/>
  <c r="ES11" i="4" s="1"/>
  <c r="FE21" i="10"/>
  <c r="FE17" i="10"/>
  <c r="FE19" i="10"/>
  <c r="FE11" i="10"/>
  <c r="FE20" i="10"/>
  <c r="FE16" i="10"/>
  <c r="FE9" i="10"/>
  <c r="FE12" i="10"/>
  <c r="FE15" i="10"/>
  <c r="FE14" i="10"/>
  <c r="FE18" i="10"/>
  <c r="FE10" i="10"/>
  <c r="FE13" i="10"/>
  <c r="FC21" i="7"/>
  <c r="FD21" i="7" s="1"/>
  <c r="FC20" i="7"/>
  <c r="FD20" i="7" s="1"/>
  <c r="FC18" i="7"/>
  <c r="FD18" i="7" s="1"/>
  <c r="FC17" i="7"/>
  <c r="FD17" i="7" s="1"/>
  <c r="FC19" i="7"/>
  <c r="FD19" i="7" s="1"/>
  <c r="FC16" i="7"/>
  <c r="FD16" i="7" s="1"/>
  <c r="FC15" i="7"/>
  <c r="FD15" i="7" s="1"/>
  <c r="FC14" i="7"/>
  <c r="FD14" i="7" s="1"/>
  <c r="FC13" i="7"/>
  <c r="FD13" i="7" s="1"/>
  <c r="FC12" i="7"/>
  <c r="FD12" i="7" s="1"/>
  <c r="FC11" i="7"/>
  <c r="FD11" i="7" s="1"/>
  <c r="FC10" i="7"/>
  <c r="FD10" i="7" s="1"/>
  <c r="FC9" i="7"/>
  <c r="FD9" i="7" s="1"/>
  <c r="ES18" i="4" l="1"/>
  <c r="EV18" i="4" s="1"/>
  <c r="ES14" i="4"/>
  <c r="EV14" i="4" s="1"/>
  <c r="ES17" i="4"/>
  <c r="EV17" i="4" s="1"/>
  <c r="ES13" i="4"/>
  <c r="EV13" i="4" s="1"/>
  <c r="ES21" i="4"/>
  <c r="EV21" i="4" s="1"/>
  <c r="ES9" i="4"/>
  <c r="EV9" i="4" s="1"/>
  <c r="ES16" i="4"/>
  <c r="EV16" i="4" s="1"/>
  <c r="ES12" i="4"/>
  <c r="EV12" i="4" s="1"/>
  <c r="ES20" i="4"/>
  <c r="EV20" i="4" s="1"/>
  <c r="ES15" i="4"/>
  <c r="EV15" i="4" s="1"/>
  <c r="ES10" i="4"/>
  <c r="EV10" i="4" s="1"/>
  <c r="ES19" i="4"/>
  <c r="EV19" i="4" s="1"/>
  <c r="FH10" i="10"/>
  <c r="FH12" i="10"/>
  <c r="FH11" i="10"/>
  <c r="FH18" i="10"/>
  <c r="FE22" i="10"/>
  <c r="FF22" i="10" s="1"/>
  <c r="FH9" i="10"/>
  <c r="FH19" i="10"/>
  <c r="FH14" i="10"/>
  <c r="FH16" i="10"/>
  <c r="FH17" i="10"/>
  <c r="FH13" i="10"/>
  <c r="FH15" i="10"/>
  <c r="FH20" i="10"/>
  <c r="FH21" i="10"/>
  <c r="FD22" i="7"/>
  <c r="EV11" i="4"/>
  <c r="ES22" i="4" l="1"/>
  <c r="ET22" i="4" s="1"/>
  <c r="FG22" i="10"/>
  <c r="FE18" i="7"/>
  <c r="FE14" i="7"/>
  <c r="FE9" i="7"/>
  <c r="FE21" i="7"/>
  <c r="FE17" i="7"/>
  <c r="FE13" i="7"/>
  <c r="FE11" i="7"/>
  <c r="FE12" i="7"/>
  <c r="FE16" i="7"/>
  <c r="FE19" i="7"/>
  <c r="FE15" i="7"/>
  <c r="FE10" i="7"/>
  <c r="FE20" i="7"/>
  <c r="EU22" i="4"/>
  <c r="FI20" i="10" l="1"/>
  <c r="FJ20" i="10" s="1"/>
  <c r="FI21" i="10"/>
  <c r="FJ21" i="10" s="1"/>
  <c r="FI19" i="10"/>
  <c r="FJ19" i="10" s="1"/>
  <c r="FI17" i="10"/>
  <c r="FJ17" i="10" s="1"/>
  <c r="FI15" i="10"/>
  <c r="FJ15" i="10" s="1"/>
  <c r="FI14" i="10"/>
  <c r="FJ14" i="10" s="1"/>
  <c r="FI13" i="10"/>
  <c r="FJ13" i="10" s="1"/>
  <c r="FI12" i="10"/>
  <c r="FJ12" i="10" s="1"/>
  <c r="FI18" i="10"/>
  <c r="FJ18" i="10" s="1"/>
  <c r="FI16" i="10"/>
  <c r="FJ16" i="10" s="1"/>
  <c r="FI11" i="10"/>
  <c r="FJ11" i="10" s="1"/>
  <c r="FI10" i="10"/>
  <c r="FJ10" i="10" s="1"/>
  <c r="FI9" i="10"/>
  <c r="FJ9" i="10" s="1"/>
  <c r="FH11" i="7"/>
  <c r="FH10" i="7"/>
  <c r="FH12" i="7"/>
  <c r="FH21" i="7"/>
  <c r="FE22" i="7"/>
  <c r="FF22" i="7" s="1"/>
  <c r="FH9" i="7"/>
  <c r="FH15" i="7"/>
  <c r="FH19" i="7"/>
  <c r="FH13" i="7"/>
  <c r="FH14" i="7"/>
  <c r="FH20" i="7"/>
  <c r="FH16" i="7"/>
  <c r="FH17" i="7"/>
  <c r="FH18" i="7"/>
  <c r="EW10" i="4"/>
  <c r="EX10" i="4" s="1"/>
  <c r="EW12" i="4"/>
  <c r="EX12" i="4" s="1"/>
  <c r="EW14" i="4"/>
  <c r="EX14" i="4" s="1"/>
  <c r="EW16" i="4"/>
  <c r="EX16" i="4" s="1"/>
  <c r="EW18" i="4"/>
  <c r="EX18" i="4" s="1"/>
  <c r="EW20" i="4"/>
  <c r="EX20" i="4" s="1"/>
  <c r="EW9" i="4"/>
  <c r="EX9" i="4" s="1"/>
  <c r="EW11" i="4"/>
  <c r="EX11" i="4" s="1"/>
  <c r="EW13" i="4"/>
  <c r="EX13" i="4" s="1"/>
  <c r="EW15" i="4"/>
  <c r="EX15" i="4" s="1"/>
  <c r="EW17" i="4"/>
  <c r="EX17" i="4" s="1"/>
  <c r="EW19" i="4"/>
  <c r="EX19" i="4" s="1"/>
  <c r="EW21" i="4"/>
  <c r="EX21" i="4" s="1"/>
  <c r="FJ22" i="10" l="1"/>
  <c r="FK21" i="10" s="1"/>
  <c r="FG22" i="7"/>
  <c r="EX22" i="4"/>
  <c r="FK13" i="10" l="1"/>
  <c r="FK12" i="10"/>
  <c r="FK14" i="10"/>
  <c r="FK15" i="10"/>
  <c r="FK10" i="10"/>
  <c r="FK11" i="10"/>
  <c r="FK16" i="10"/>
  <c r="FK17" i="10"/>
  <c r="FK19" i="10"/>
  <c r="FK20" i="10"/>
  <c r="FK18" i="10"/>
  <c r="FK9" i="10"/>
  <c r="FN12" i="10"/>
  <c r="FN20" i="10"/>
  <c r="FN13" i="10"/>
  <c r="FN11" i="10"/>
  <c r="FN21" i="10"/>
  <c r="FI21" i="7"/>
  <c r="FJ21" i="7" s="1"/>
  <c r="FI20" i="7"/>
  <c r="FJ20" i="7" s="1"/>
  <c r="FI18" i="7"/>
  <c r="FJ18" i="7" s="1"/>
  <c r="FI17" i="7"/>
  <c r="FJ17" i="7" s="1"/>
  <c r="FI19" i="7"/>
  <c r="FJ19" i="7" s="1"/>
  <c r="FI16" i="7"/>
  <c r="FJ16" i="7" s="1"/>
  <c r="FI15" i="7"/>
  <c r="FJ15" i="7" s="1"/>
  <c r="FI14" i="7"/>
  <c r="FJ14" i="7" s="1"/>
  <c r="FI13" i="7"/>
  <c r="FJ13" i="7" s="1"/>
  <c r="FI12" i="7"/>
  <c r="FJ12" i="7" s="1"/>
  <c r="FI9" i="7"/>
  <c r="FJ9" i="7" s="1"/>
  <c r="FI11" i="7"/>
  <c r="FJ11" i="7" s="1"/>
  <c r="FI10" i="7"/>
  <c r="FJ10" i="7" s="1"/>
  <c r="EY12" i="4"/>
  <c r="EY14" i="4"/>
  <c r="EY11" i="4"/>
  <c r="EY15" i="4"/>
  <c r="EY18" i="4"/>
  <c r="EY19" i="4"/>
  <c r="EY16" i="4"/>
  <c r="EY20" i="4"/>
  <c r="EY9" i="4"/>
  <c r="EY13" i="4"/>
  <c r="EY10" i="4"/>
  <c r="EY17" i="4"/>
  <c r="EY21" i="4"/>
  <c r="FN18" i="10" l="1"/>
  <c r="FN16" i="10"/>
  <c r="FN14" i="10"/>
  <c r="FN19" i="10"/>
  <c r="FN10" i="10"/>
  <c r="FN17" i="10"/>
  <c r="FN15" i="10"/>
  <c r="FK22" i="10"/>
  <c r="FL22" i="10" s="1"/>
  <c r="FN9" i="10"/>
  <c r="FJ22" i="7"/>
  <c r="FK17" i="7" s="1"/>
  <c r="FB21" i="4"/>
  <c r="FB17" i="4"/>
  <c r="FB20" i="4"/>
  <c r="FB15" i="4"/>
  <c r="FB16" i="4"/>
  <c r="FB11" i="4"/>
  <c r="FB10" i="4"/>
  <c r="FB13" i="4"/>
  <c r="FB19" i="4"/>
  <c r="FB14" i="4"/>
  <c r="EY22" i="4"/>
  <c r="EZ22" i="4" s="1"/>
  <c r="FB9" i="4"/>
  <c r="FB18" i="4"/>
  <c r="FB12" i="4"/>
  <c r="FM22" i="10" l="1"/>
  <c r="FO21" i="10" s="1"/>
  <c r="FP21" i="10" s="1"/>
  <c r="FK19" i="7"/>
  <c r="FK16" i="7"/>
  <c r="FN16" i="7" s="1"/>
  <c r="FK11" i="7"/>
  <c r="FN11" i="7" s="1"/>
  <c r="FK18" i="7"/>
  <c r="FN18" i="7" s="1"/>
  <c r="FK15" i="7"/>
  <c r="FN15" i="7" s="1"/>
  <c r="FK21" i="7"/>
  <c r="FN21" i="7" s="1"/>
  <c r="FK12" i="7"/>
  <c r="FN12" i="7" s="1"/>
  <c r="FK13" i="7"/>
  <c r="FN13" i="7" s="1"/>
  <c r="FK20" i="7"/>
  <c r="FN20" i="7" s="1"/>
  <c r="FK10" i="7"/>
  <c r="FK9" i="7"/>
  <c r="FN9" i="7" s="1"/>
  <c r="FK14" i="7"/>
  <c r="FN14" i="7" s="1"/>
  <c r="FN17" i="7"/>
  <c r="FN19" i="7"/>
  <c r="FA22" i="4"/>
  <c r="FO20" i="10" l="1"/>
  <c r="FP20" i="10" s="1"/>
  <c r="FO19" i="10"/>
  <c r="FP19" i="10" s="1"/>
  <c r="FO9" i="10"/>
  <c r="FP9" i="10" s="1"/>
  <c r="FO14" i="10"/>
  <c r="FP14" i="10" s="1"/>
  <c r="FO10" i="10"/>
  <c r="FP10" i="10" s="1"/>
  <c r="FO16" i="10"/>
  <c r="FP16" i="10" s="1"/>
  <c r="FO11" i="10"/>
  <c r="FP11" i="10" s="1"/>
  <c r="FO18" i="10"/>
  <c r="FP18" i="10" s="1"/>
  <c r="FO12" i="10"/>
  <c r="FP12" i="10" s="1"/>
  <c r="FO15" i="10"/>
  <c r="FP15" i="10" s="1"/>
  <c r="FO17" i="10"/>
  <c r="FP17" i="10" s="1"/>
  <c r="FO13" i="10"/>
  <c r="FP13" i="10" s="1"/>
  <c r="FK22" i="7"/>
  <c r="FL22" i="7" s="1"/>
  <c r="FN10" i="7"/>
  <c r="FM22" i="7" s="1"/>
  <c r="FC9" i="4"/>
  <c r="FD9" i="4" s="1"/>
  <c r="FC11" i="4"/>
  <c r="FD11" i="4" s="1"/>
  <c r="FC13" i="4"/>
  <c r="FD13" i="4" s="1"/>
  <c r="FC15" i="4"/>
  <c r="FD15" i="4" s="1"/>
  <c r="FC17" i="4"/>
  <c r="FD17" i="4" s="1"/>
  <c r="FC19" i="4"/>
  <c r="FD19" i="4" s="1"/>
  <c r="FC21" i="4"/>
  <c r="FD21" i="4" s="1"/>
  <c r="FC14" i="4"/>
  <c r="FD14" i="4" s="1"/>
  <c r="FC12" i="4"/>
  <c r="FD12" i="4" s="1"/>
  <c r="FC20" i="4"/>
  <c r="FD20" i="4" s="1"/>
  <c r="FC10" i="4"/>
  <c r="FD10" i="4" s="1"/>
  <c r="FC18" i="4"/>
  <c r="FD18" i="4" s="1"/>
  <c r="FC16" i="4"/>
  <c r="FD16" i="4" s="1"/>
  <c r="FP22" i="10" l="1"/>
  <c r="FQ21" i="10" s="1"/>
  <c r="FO21" i="7"/>
  <c r="FP21" i="7" s="1"/>
  <c r="FO20" i="7"/>
  <c r="FP20" i="7" s="1"/>
  <c r="FO18" i="7"/>
  <c r="FP18" i="7" s="1"/>
  <c r="FO17" i="7"/>
  <c r="FP17" i="7" s="1"/>
  <c r="FO19" i="7"/>
  <c r="FP19" i="7" s="1"/>
  <c r="FO16" i="7"/>
  <c r="FP16" i="7" s="1"/>
  <c r="FO15" i="7"/>
  <c r="FP15" i="7" s="1"/>
  <c r="FO14" i="7"/>
  <c r="FP14" i="7" s="1"/>
  <c r="FO13" i="7"/>
  <c r="FP13" i="7" s="1"/>
  <c r="FO12" i="7"/>
  <c r="FP12" i="7" s="1"/>
  <c r="FO11" i="7"/>
  <c r="FP11" i="7" s="1"/>
  <c r="FO10" i="7"/>
  <c r="FP10" i="7" s="1"/>
  <c r="FO9" i="7"/>
  <c r="FP9" i="7" s="1"/>
  <c r="FD22" i="4"/>
  <c r="FQ15" i="10" l="1"/>
  <c r="FT15" i="10" s="1"/>
  <c r="FQ20" i="10"/>
  <c r="FQ19" i="10"/>
  <c r="FT19" i="10" s="1"/>
  <c r="FQ9" i="10"/>
  <c r="FT9" i="10" s="1"/>
  <c r="FQ13" i="10"/>
  <c r="FT13" i="10" s="1"/>
  <c r="FQ10" i="10"/>
  <c r="FQ12" i="10"/>
  <c r="FT12" i="10" s="1"/>
  <c r="FQ11" i="10"/>
  <c r="FT11" i="10" s="1"/>
  <c r="FQ18" i="10"/>
  <c r="FT18" i="10" s="1"/>
  <c r="FQ14" i="10"/>
  <c r="FQ16" i="10"/>
  <c r="FQ17" i="10"/>
  <c r="FT17" i="10" s="1"/>
  <c r="FT10" i="10"/>
  <c r="FT20" i="10"/>
  <c r="FT14" i="10"/>
  <c r="FT21" i="10"/>
  <c r="FP22" i="7"/>
  <c r="FE10" i="4"/>
  <c r="FE19" i="4"/>
  <c r="FE11" i="4"/>
  <c r="FE17" i="4"/>
  <c r="FE14" i="4"/>
  <c r="FE16" i="4"/>
  <c r="FE9" i="4"/>
  <c r="FE18" i="4"/>
  <c r="FE15" i="4"/>
  <c r="FE21" i="4"/>
  <c r="FE13" i="4"/>
  <c r="FE20" i="4"/>
  <c r="FE12" i="4"/>
  <c r="FQ22" i="10" l="1"/>
  <c r="FR22" i="10" s="1"/>
  <c r="FT16" i="10"/>
  <c r="FS22" i="10" s="1"/>
  <c r="FQ18" i="7"/>
  <c r="FQ14" i="7"/>
  <c r="FQ10" i="7"/>
  <c r="FQ17" i="7"/>
  <c r="FQ13" i="7"/>
  <c r="FQ21" i="7"/>
  <c r="FQ9" i="7"/>
  <c r="FQ20" i="7"/>
  <c r="FQ16" i="7"/>
  <c r="FQ12" i="7"/>
  <c r="FQ19" i="7"/>
  <c r="FQ15" i="7"/>
  <c r="FQ11" i="7"/>
  <c r="FH20" i="4"/>
  <c r="FH18" i="4"/>
  <c r="FH17" i="4"/>
  <c r="FH13" i="4"/>
  <c r="FE22" i="4"/>
  <c r="FF22" i="4" s="1"/>
  <c r="FH9" i="4"/>
  <c r="FH11" i="4"/>
  <c r="FH21" i="4"/>
  <c r="FH16" i="4"/>
  <c r="FH19" i="4"/>
  <c r="FH12" i="4"/>
  <c r="FH15" i="4"/>
  <c r="FH14" i="4"/>
  <c r="FH10" i="4"/>
  <c r="FU20" i="10" l="1"/>
  <c r="FV20" i="10" s="1"/>
  <c r="FU17" i="10"/>
  <c r="FV17" i="10" s="1"/>
  <c r="FU15" i="10"/>
  <c r="FV15" i="10" s="1"/>
  <c r="FU14" i="10"/>
  <c r="FV14" i="10" s="1"/>
  <c r="FU13" i="10"/>
  <c r="FV13" i="10" s="1"/>
  <c r="FU12" i="10"/>
  <c r="FV12" i="10" s="1"/>
  <c r="FU21" i="10"/>
  <c r="FV21" i="10" s="1"/>
  <c r="FU11" i="10"/>
  <c r="FV11" i="10" s="1"/>
  <c r="FU10" i="10"/>
  <c r="FV10" i="10" s="1"/>
  <c r="FU9" i="10"/>
  <c r="FV9" i="10" s="1"/>
  <c r="FU19" i="10"/>
  <c r="FV19" i="10" s="1"/>
  <c r="FU18" i="10"/>
  <c r="FV18" i="10" s="1"/>
  <c r="FU16" i="10"/>
  <c r="FV16" i="10" s="1"/>
  <c r="FT15" i="7"/>
  <c r="FT20" i="7"/>
  <c r="FT17" i="7"/>
  <c r="FQ22" i="7"/>
  <c r="FR22" i="7" s="1"/>
  <c r="FT9" i="7"/>
  <c r="FT10" i="7"/>
  <c r="FT19" i="7"/>
  <c r="FT12" i="7"/>
  <c r="FT21" i="7"/>
  <c r="FT14" i="7"/>
  <c r="FT11" i="7"/>
  <c r="FT16" i="7"/>
  <c r="FT13" i="7"/>
  <c r="FT18" i="7"/>
  <c r="FG22" i="4"/>
  <c r="FV22" i="10" l="1"/>
  <c r="FS22" i="7"/>
  <c r="FI9" i="4"/>
  <c r="FJ9" i="4" s="1"/>
  <c r="FI11" i="4"/>
  <c r="FJ11" i="4" s="1"/>
  <c r="FI13" i="4"/>
  <c r="FJ13" i="4" s="1"/>
  <c r="FI15" i="4"/>
  <c r="FJ15" i="4" s="1"/>
  <c r="FI17" i="4"/>
  <c r="FJ17" i="4" s="1"/>
  <c r="FI19" i="4"/>
  <c r="FJ19" i="4" s="1"/>
  <c r="FI21" i="4"/>
  <c r="FJ21" i="4" s="1"/>
  <c r="FI10" i="4"/>
  <c r="FJ10" i="4" s="1"/>
  <c r="FI18" i="4"/>
  <c r="FJ18" i="4" s="1"/>
  <c r="FI16" i="4"/>
  <c r="FJ16" i="4" s="1"/>
  <c r="FI14" i="4"/>
  <c r="FJ14" i="4" s="1"/>
  <c r="FI12" i="4"/>
  <c r="FJ12" i="4" s="1"/>
  <c r="FI20" i="4"/>
  <c r="FJ20" i="4" s="1"/>
  <c r="FW21" i="10" l="1"/>
  <c r="FW17" i="10"/>
  <c r="FW14" i="10"/>
  <c r="FW12" i="10"/>
  <c r="FW11" i="10"/>
  <c r="FW20" i="10"/>
  <c r="FW16" i="10"/>
  <c r="FW13" i="10"/>
  <c r="FW15" i="10"/>
  <c r="FW10" i="10"/>
  <c r="FW18" i="10"/>
  <c r="FW19" i="10"/>
  <c r="FW9" i="10"/>
  <c r="FU21" i="7"/>
  <c r="FV21" i="7" s="1"/>
  <c r="FU20" i="7"/>
  <c r="FV20" i="7" s="1"/>
  <c r="FU18" i="7"/>
  <c r="FV18" i="7" s="1"/>
  <c r="FU17" i="7"/>
  <c r="FV17" i="7" s="1"/>
  <c r="FU19" i="7"/>
  <c r="FV19" i="7" s="1"/>
  <c r="FU16" i="7"/>
  <c r="FV16" i="7" s="1"/>
  <c r="FU15" i="7"/>
  <c r="FV15" i="7" s="1"/>
  <c r="FU14" i="7"/>
  <c r="FV14" i="7" s="1"/>
  <c r="FU13" i="7"/>
  <c r="FV13" i="7" s="1"/>
  <c r="FU12" i="7"/>
  <c r="FV12" i="7" s="1"/>
  <c r="FU10" i="7"/>
  <c r="FV10" i="7" s="1"/>
  <c r="FU9" i="7"/>
  <c r="FV9" i="7" s="1"/>
  <c r="FU11" i="7"/>
  <c r="FV11" i="7" s="1"/>
  <c r="FJ22" i="4"/>
  <c r="FZ19" i="10" l="1"/>
  <c r="FZ13" i="10"/>
  <c r="FZ12" i="10"/>
  <c r="FZ16" i="10"/>
  <c r="FZ14" i="10"/>
  <c r="FZ18" i="10"/>
  <c r="FZ10" i="10"/>
  <c r="FZ20" i="10"/>
  <c r="FZ17" i="10"/>
  <c r="FW22" i="10"/>
  <c r="FX22" i="10" s="1"/>
  <c r="FZ9" i="10"/>
  <c r="FZ15" i="10"/>
  <c r="FZ11" i="10"/>
  <c r="FZ21" i="10"/>
  <c r="FV22" i="7"/>
  <c r="FK10" i="4"/>
  <c r="FK15" i="4"/>
  <c r="FK16" i="4"/>
  <c r="FK17" i="4"/>
  <c r="FK19" i="4"/>
  <c r="FK20" i="4"/>
  <c r="FK14" i="4"/>
  <c r="FK21" i="4"/>
  <c r="FK18" i="4"/>
  <c r="FK9" i="4"/>
  <c r="FK11" i="4"/>
  <c r="FK12" i="4"/>
  <c r="FK13" i="4"/>
  <c r="FY22" i="10" l="1"/>
  <c r="FW18" i="7"/>
  <c r="FW14" i="7"/>
  <c r="FW10" i="7"/>
  <c r="FW17" i="7"/>
  <c r="FW9" i="7"/>
  <c r="FW21" i="7"/>
  <c r="FW13" i="7"/>
  <c r="FW20" i="7"/>
  <c r="FW16" i="7"/>
  <c r="FW12" i="7"/>
  <c r="FW19" i="7"/>
  <c r="FW15" i="7"/>
  <c r="FW11" i="7"/>
  <c r="FN12" i="4"/>
  <c r="FN21" i="4"/>
  <c r="FN17" i="4"/>
  <c r="FN14" i="4"/>
  <c r="FN16" i="4"/>
  <c r="FN11" i="4"/>
  <c r="FK22" i="4"/>
  <c r="FL22" i="4" s="1"/>
  <c r="FN9" i="4"/>
  <c r="FN20" i="4"/>
  <c r="FN15" i="4"/>
  <c r="FN13" i="4"/>
  <c r="FN18" i="4"/>
  <c r="FN19" i="4"/>
  <c r="FN10" i="4"/>
  <c r="GA21" i="10" l="1"/>
  <c r="GB21" i="10" s="1"/>
  <c r="GA19" i="10"/>
  <c r="GB19" i="10" s="1"/>
  <c r="GA18" i="10"/>
  <c r="GB18" i="10" s="1"/>
  <c r="GA16" i="10"/>
  <c r="GB16" i="10" s="1"/>
  <c r="GA14" i="10"/>
  <c r="GB14" i="10" s="1"/>
  <c r="GA13" i="10"/>
  <c r="GB13" i="10" s="1"/>
  <c r="GA12" i="10"/>
  <c r="GB12" i="10" s="1"/>
  <c r="GA20" i="10"/>
  <c r="GB20" i="10" s="1"/>
  <c r="GA15" i="10"/>
  <c r="GB15" i="10" s="1"/>
  <c r="GA11" i="10"/>
  <c r="GB11" i="10" s="1"/>
  <c r="GA10" i="10"/>
  <c r="GB10" i="10" s="1"/>
  <c r="GA9" i="10"/>
  <c r="GB9" i="10" s="1"/>
  <c r="GA17" i="10"/>
  <c r="GB17" i="10" s="1"/>
  <c r="FZ15" i="7"/>
  <c r="FZ20" i="7"/>
  <c r="FZ17" i="7"/>
  <c r="FZ19" i="7"/>
  <c r="FZ10" i="7"/>
  <c r="FZ13" i="7"/>
  <c r="FZ12" i="7"/>
  <c r="FZ21" i="7"/>
  <c r="FZ14" i="7"/>
  <c r="FZ11" i="7"/>
  <c r="FZ16" i="7"/>
  <c r="FW22" i="7"/>
  <c r="FX22" i="7" s="1"/>
  <c r="FZ9" i="7"/>
  <c r="FZ18" i="7"/>
  <c r="FM22" i="4"/>
  <c r="FY22" i="7" l="1"/>
  <c r="GA17" i="7" s="1"/>
  <c r="GB17" i="7" s="1"/>
  <c r="GB22" i="10"/>
  <c r="FO9" i="4"/>
  <c r="FP9" i="4" s="1"/>
  <c r="FO11" i="4"/>
  <c r="FP11" i="4" s="1"/>
  <c r="FO13" i="4"/>
  <c r="FP13" i="4" s="1"/>
  <c r="FO15" i="4"/>
  <c r="FP15" i="4" s="1"/>
  <c r="FO17" i="4"/>
  <c r="FP17" i="4" s="1"/>
  <c r="FO19" i="4"/>
  <c r="FP19" i="4" s="1"/>
  <c r="FO21" i="4"/>
  <c r="FP21" i="4" s="1"/>
  <c r="FO10" i="4"/>
  <c r="FP10" i="4" s="1"/>
  <c r="FO12" i="4"/>
  <c r="FP12" i="4" s="1"/>
  <c r="FO14" i="4"/>
  <c r="FP14" i="4" s="1"/>
  <c r="FO16" i="4"/>
  <c r="FP16" i="4" s="1"/>
  <c r="FO18" i="4"/>
  <c r="FP18" i="4" s="1"/>
  <c r="FO20" i="4"/>
  <c r="FP20" i="4" s="1"/>
  <c r="GA11" i="7" l="1"/>
  <c r="GB11" i="7" s="1"/>
  <c r="GA15" i="7"/>
  <c r="GB15" i="7" s="1"/>
  <c r="GA18" i="7"/>
  <c r="GB18" i="7" s="1"/>
  <c r="GA12" i="7"/>
  <c r="GB12" i="7" s="1"/>
  <c r="GA16" i="7"/>
  <c r="GB16" i="7" s="1"/>
  <c r="GA20" i="7"/>
  <c r="GB20" i="7" s="1"/>
  <c r="GA13" i="7"/>
  <c r="GB13" i="7" s="1"/>
  <c r="GA19" i="7"/>
  <c r="GB19" i="7" s="1"/>
  <c r="GA21" i="7"/>
  <c r="GB21" i="7" s="1"/>
  <c r="GA9" i="7"/>
  <c r="GB9" i="7" s="1"/>
  <c r="GA10" i="7"/>
  <c r="GB10" i="7" s="1"/>
  <c r="GA14" i="7"/>
  <c r="GB14" i="7" s="1"/>
  <c r="GC21" i="10"/>
  <c r="GC17" i="10"/>
  <c r="GC12" i="10"/>
  <c r="GC10" i="10"/>
  <c r="GC20" i="10"/>
  <c r="GC16" i="10"/>
  <c r="GC11" i="10"/>
  <c r="GC9" i="10"/>
  <c r="GC14" i="10"/>
  <c r="GC15" i="10"/>
  <c r="GC18" i="10"/>
  <c r="GC19" i="10"/>
  <c r="GC13" i="10"/>
  <c r="FP22" i="4"/>
  <c r="GB22" i="7" l="1"/>
  <c r="GC11" i="7" s="1"/>
  <c r="GF18" i="10"/>
  <c r="GF19" i="10"/>
  <c r="GC22" i="10"/>
  <c r="GD22" i="10" s="1"/>
  <c r="GF9" i="10"/>
  <c r="GF10" i="10"/>
  <c r="GF12" i="10"/>
  <c r="GF11" i="10"/>
  <c r="GF15" i="10"/>
  <c r="GF16" i="10"/>
  <c r="GF17" i="10"/>
  <c r="GF13" i="10"/>
  <c r="GF14" i="10"/>
  <c r="GF20" i="10"/>
  <c r="GF21" i="10"/>
  <c r="FQ10" i="4"/>
  <c r="FQ15" i="4"/>
  <c r="FQ16" i="4"/>
  <c r="FQ17" i="4"/>
  <c r="FQ14" i="4"/>
  <c r="FQ19" i="4"/>
  <c r="FQ20" i="4"/>
  <c r="FQ21" i="4"/>
  <c r="FQ18" i="4"/>
  <c r="FQ9" i="4"/>
  <c r="FQ11" i="4"/>
  <c r="FQ12" i="4"/>
  <c r="FQ13" i="4"/>
  <c r="GC14" i="7" l="1"/>
  <c r="GF14" i="7" s="1"/>
  <c r="GC15" i="7"/>
  <c r="GC17" i="7"/>
  <c r="GC12" i="7"/>
  <c r="GF12" i="7" s="1"/>
  <c r="GC21" i="7"/>
  <c r="GC18" i="7"/>
  <c r="GC19" i="7"/>
  <c r="GF19" i="7" s="1"/>
  <c r="GC16" i="7"/>
  <c r="GF16" i="7" s="1"/>
  <c r="GC9" i="7"/>
  <c r="GF9" i="7" s="1"/>
  <c r="GC13" i="7"/>
  <c r="GF13" i="7" s="1"/>
  <c r="GC20" i="7"/>
  <c r="GF20" i="7" s="1"/>
  <c r="GC10" i="7"/>
  <c r="GF10" i="7" s="1"/>
  <c r="GE22" i="10"/>
  <c r="GF11" i="7"/>
  <c r="GF17" i="7"/>
  <c r="GF15" i="7"/>
  <c r="GF21" i="7"/>
  <c r="GF18" i="7"/>
  <c r="FT12" i="4"/>
  <c r="FT21" i="4"/>
  <c r="FT17" i="4"/>
  <c r="FT20" i="4"/>
  <c r="FT16" i="4"/>
  <c r="FT11" i="4"/>
  <c r="FQ22" i="4"/>
  <c r="FR22" i="4" s="1"/>
  <c r="FT9" i="4"/>
  <c r="FT19" i="4"/>
  <c r="FT15" i="4"/>
  <c r="FT13" i="4"/>
  <c r="FT18" i="4"/>
  <c r="FT14" i="4"/>
  <c r="FT10" i="4"/>
  <c r="GC22" i="7" l="1"/>
  <c r="GD22" i="7" s="1"/>
  <c r="GG20" i="10"/>
  <c r="GH20" i="10" s="1"/>
  <c r="GG19" i="10"/>
  <c r="GH19" i="10" s="1"/>
  <c r="GG17" i="10"/>
  <c r="GH17" i="10" s="1"/>
  <c r="GG15" i="10"/>
  <c r="GH15" i="10" s="1"/>
  <c r="GG14" i="10"/>
  <c r="GH14" i="10" s="1"/>
  <c r="GG13" i="10"/>
  <c r="GH13" i="10" s="1"/>
  <c r="GG12" i="10"/>
  <c r="GH12" i="10" s="1"/>
  <c r="GG21" i="10"/>
  <c r="GH21" i="10" s="1"/>
  <c r="GG18" i="10"/>
  <c r="GH18" i="10" s="1"/>
  <c r="GG16" i="10"/>
  <c r="GH16" i="10" s="1"/>
  <c r="GG11" i="10"/>
  <c r="GH11" i="10" s="1"/>
  <c r="GG10" i="10"/>
  <c r="GH10" i="10" s="1"/>
  <c r="GG9" i="10"/>
  <c r="GH9" i="10" s="1"/>
  <c r="GE22" i="7"/>
  <c r="FS22" i="4"/>
  <c r="GH22" i="10" l="1"/>
  <c r="GG21" i="7"/>
  <c r="GH21" i="7" s="1"/>
  <c r="GG20" i="7"/>
  <c r="GH20" i="7" s="1"/>
  <c r="GG18" i="7"/>
  <c r="GH18" i="7" s="1"/>
  <c r="GG17" i="7"/>
  <c r="GH17" i="7" s="1"/>
  <c r="GG19" i="7"/>
  <c r="GH19" i="7" s="1"/>
  <c r="GG16" i="7"/>
  <c r="GH16" i="7" s="1"/>
  <c r="GG15" i="7"/>
  <c r="GH15" i="7" s="1"/>
  <c r="GG14" i="7"/>
  <c r="GH14" i="7" s="1"/>
  <c r="GG13" i="7"/>
  <c r="GH13" i="7" s="1"/>
  <c r="GG12" i="7"/>
  <c r="GH12" i="7" s="1"/>
  <c r="GG9" i="7"/>
  <c r="GH9" i="7" s="1"/>
  <c r="GG11" i="7"/>
  <c r="GH11" i="7" s="1"/>
  <c r="GG10" i="7"/>
  <c r="GH10" i="7" s="1"/>
  <c r="FU9" i="4"/>
  <c r="FV9" i="4" s="1"/>
  <c r="FU11" i="4"/>
  <c r="FV11" i="4" s="1"/>
  <c r="FU13" i="4"/>
  <c r="FV13" i="4" s="1"/>
  <c r="FU15" i="4"/>
  <c r="FV15" i="4" s="1"/>
  <c r="FU17" i="4"/>
  <c r="FV17" i="4" s="1"/>
  <c r="FU19" i="4"/>
  <c r="FV19" i="4" s="1"/>
  <c r="FU21" i="4"/>
  <c r="FV21" i="4" s="1"/>
  <c r="FU10" i="4"/>
  <c r="FV10" i="4" s="1"/>
  <c r="FU12" i="4"/>
  <c r="FV12" i="4" s="1"/>
  <c r="FU14" i="4"/>
  <c r="FV14" i="4" s="1"/>
  <c r="FU16" i="4"/>
  <c r="FV16" i="4" s="1"/>
  <c r="FU18" i="4"/>
  <c r="FV18" i="4" s="1"/>
  <c r="FU20" i="4"/>
  <c r="FV20" i="4" s="1"/>
  <c r="GH22" i="7" l="1"/>
  <c r="GI9" i="7" s="1"/>
  <c r="GI21" i="10"/>
  <c r="GI17" i="10"/>
  <c r="GI9" i="10"/>
  <c r="GI11" i="10"/>
  <c r="GI14" i="10"/>
  <c r="GI20" i="10"/>
  <c r="GI16" i="10"/>
  <c r="GI19" i="10"/>
  <c r="GI15" i="10"/>
  <c r="GI13" i="10"/>
  <c r="GI18" i="10"/>
  <c r="GI10" i="10"/>
  <c r="GI12" i="10"/>
  <c r="FV22" i="4"/>
  <c r="GJ12" i="10" l="1"/>
  <c r="GK12" i="10" s="1"/>
  <c r="GL12" i="10" s="1"/>
  <c r="GJ18" i="10"/>
  <c r="GK18" i="10" s="1"/>
  <c r="GL18" i="10" s="1"/>
  <c r="GJ16" i="10"/>
  <c r="GK16" i="10" s="1"/>
  <c r="GL16" i="10" s="1"/>
  <c r="GJ13" i="10"/>
  <c r="GK13" i="10" s="1"/>
  <c r="GL13" i="10" s="1"/>
  <c r="GJ20" i="10"/>
  <c r="GK20" i="10" s="1"/>
  <c r="GL20" i="10" s="1"/>
  <c r="GJ17" i="10"/>
  <c r="GK17" i="10" s="1"/>
  <c r="GL17" i="10" s="1"/>
  <c r="GJ15" i="10"/>
  <c r="GK15" i="10" s="1"/>
  <c r="GL15" i="10" s="1"/>
  <c r="GJ14" i="10"/>
  <c r="GK14" i="10" s="1"/>
  <c r="GL14" i="10" s="1"/>
  <c r="GJ21" i="10"/>
  <c r="GK21" i="10" s="1"/>
  <c r="GL21" i="10" s="1"/>
  <c r="GJ10" i="10"/>
  <c r="GK10" i="10" s="1"/>
  <c r="GL10" i="10" s="1"/>
  <c r="GJ19" i="10"/>
  <c r="GK19" i="10" s="1"/>
  <c r="GL19" i="10" s="1"/>
  <c r="GJ11" i="10"/>
  <c r="GK11" i="10" s="1"/>
  <c r="GL11" i="10" s="1"/>
  <c r="GI16" i="7"/>
  <c r="GJ16" i="7" s="1"/>
  <c r="GI10" i="7"/>
  <c r="GJ10" i="7" s="1"/>
  <c r="GI18" i="7"/>
  <c r="GJ18" i="7" s="1"/>
  <c r="GI15" i="7"/>
  <c r="GJ15" i="7" s="1"/>
  <c r="GI20" i="7"/>
  <c r="GJ20" i="7" s="1"/>
  <c r="GI13" i="7"/>
  <c r="GJ13" i="7" s="1"/>
  <c r="GI11" i="7"/>
  <c r="GJ11" i="7" s="1"/>
  <c r="GI12" i="7"/>
  <c r="GJ12" i="7" s="1"/>
  <c r="GI17" i="7"/>
  <c r="GJ17" i="7" s="1"/>
  <c r="GI21" i="7"/>
  <c r="GJ21" i="7" s="1"/>
  <c r="GI14" i="7"/>
  <c r="GJ14" i="7" s="1"/>
  <c r="GI19" i="7"/>
  <c r="GJ19" i="7" s="1"/>
  <c r="GI22" i="10"/>
  <c r="GJ9" i="10"/>
  <c r="GK9" i="10" s="1"/>
  <c r="GJ9" i="7"/>
  <c r="GK9" i="7" s="1"/>
  <c r="FW10" i="4"/>
  <c r="FW15" i="4"/>
  <c r="FW16" i="4"/>
  <c r="FW17" i="4"/>
  <c r="FW19" i="4"/>
  <c r="FW21" i="4"/>
  <c r="FW14" i="4"/>
  <c r="FW20" i="4"/>
  <c r="FW18" i="4"/>
  <c r="FW9" i="4"/>
  <c r="FW11" i="4"/>
  <c r="FW12" i="4"/>
  <c r="FW13" i="4"/>
  <c r="GK19" i="7" l="1"/>
  <c r="GL19" i="7" s="1"/>
  <c r="GK15" i="7"/>
  <c r="GL15" i="7" s="1"/>
  <c r="GK12" i="7"/>
  <c r="GL12" i="7" s="1"/>
  <c r="GK14" i="7"/>
  <c r="GL14" i="7" s="1"/>
  <c r="GK11" i="7"/>
  <c r="GL11" i="7" s="1"/>
  <c r="GK18" i="7"/>
  <c r="GL18" i="7" s="1"/>
  <c r="GK13" i="7"/>
  <c r="GL13" i="7" s="1"/>
  <c r="GK21" i="7"/>
  <c r="GL21" i="7" s="1"/>
  <c r="GK10" i="7"/>
  <c r="GL10" i="7" s="1"/>
  <c r="GK17" i="7"/>
  <c r="GL17" i="7" s="1"/>
  <c r="GK20" i="7"/>
  <c r="GL20" i="7" s="1"/>
  <c r="GK16" i="7"/>
  <c r="GL16" i="7" s="1"/>
  <c r="GI22" i="7"/>
  <c r="GJ22" i="10"/>
  <c r="GK22" i="10" s="1"/>
  <c r="GL9" i="10"/>
  <c r="GJ22" i="7"/>
  <c r="GK22" i="7" s="1"/>
  <c r="GL9" i="7"/>
  <c r="FZ12" i="4"/>
  <c r="FZ20" i="4"/>
  <c r="FZ17" i="4"/>
  <c r="FZ14" i="4"/>
  <c r="FZ16" i="4"/>
  <c r="FZ11" i="4"/>
  <c r="FW22" i="4"/>
  <c r="FX22" i="4" s="1"/>
  <c r="FZ9" i="4"/>
  <c r="FZ21" i="4"/>
  <c r="FZ15" i="4"/>
  <c r="FZ13" i="4"/>
  <c r="FZ18" i="4"/>
  <c r="FZ19" i="4"/>
  <c r="FZ10" i="4"/>
  <c r="FY22" i="4" l="1"/>
  <c r="GA9" i="4" l="1"/>
  <c r="GB9" i="4" s="1"/>
  <c r="GA11" i="4"/>
  <c r="GB11" i="4" s="1"/>
  <c r="GA13" i="4"/>
  <c r="GB13" i="4" s="1"/>
  <c r="GA15" i="4"/>
  <c r="GB15" i="4" s="1"/>
  <c r="GA17" i="4"/>
  <c r="GB17" i="4" s="1"/>
  <c r="GA19" i="4"/>
  <c r="GB19" i="4" s="1"/>
  <c r="GA21" i="4"/>
  <c r="GB21" i="4" s="1"/>
  <c r="GA10" i="4"/>
  <c r="GB10" i="4" s="1"/>
  <c r="GA12" i="4"/>
  <c r="GB12" i="4" s="1"/>
  <c r="GA14" i="4"/>
  <c r="GB14" i="4" s="1"/>
  <c r="GA16" i="4"/>
  <c r="GB16" i="4" s="1"/>
  <c r="GA18" i="4"/>
  <c r="GB18" i="4" s="1"/>
  <c r="GA20" i="4"/>
  <c r="GB20" i="4" s="1"/>
  <c r="GB22" i="4" l="1"/>
  <c r="GC10" i="4" l="1"/>
  <c r="GC15" i="4"/>
  <c r="GC16" i="4"/>
  <c r="GC17" i="4"/>
  <c r="GC9" i="4"/>
  <c r="GC14" i="4"/>
  <c r="GC19" i="4"/>
  <c r="GC20" i="4"/>
  <c r="GC21" i="4"/>
  <c r="GC18" i="4"/>
  <c r="GC11" i="4"/>
  <c r="GC12" i="4"/>
  <c r="GC13" i="4"/>
  <c r="GF12" i="4" l="1"/>
  <c r="GF20" i="4"/>
  <c r="GF17" i="4"/>
  <c r="GF19" i="4"/>
  <c r="GF16" i="4"/>
  <c r="GF11" i="4"/>
  <c r="GF18" i="4"/>
  <c r="GF14" i="4"/>
  <c r="GF15" i="4"/>
  <c r="GF13" i="4"/>
  <c r="GF21" i="4"/>
  <c r="GC22" i="4"/>
  <c r="GD22" i="4" s="1"/>
  <c r="GF9" i="4"/>
  <c r="GF10" i="4"/>
  <c r="GE22" i="4" l="1"/>
  <c r="GG10" i="4" l="1"/>
  <c r="GH10" i="4" s="1"/>
  <c r="GG14" i="4"/>
  <c r="GH14" i="4" s="1"/>
  <c r="GG18" i="4"/>
  <c r="GH18" i="4" s="1"/>
  <c r="GG9" i="4"/>
  <c r="GH9" i="4" s="1"/>
  <c r="GG11" i="4"/>
  <c r="GH11" i="4" s="1"/>
  <c r="GG15" i="4"/>
  <c r="GH15" i="4" s="1"/>
  <c r="GG19" i="4"/>
  <c r="GH19" i="4" s="1"/>
  <c r="GG12" i="4"/>
  <c r="GH12" i="4" s="1"/>
  <c r="GG16" i="4"/>
  <c r="GH16" i="4" s="1"/>
  <c r="GG20" i="4"/>
  <c r="GH20" i="4" s="1"/>
  <c r="GG13" i="4"/>
  <c r="GH13" i="4" s="1"/>
  <c r="GG17" i="4"/>
  <c r="GH17" i="4" s="1"/>
  <c r="GG21" i="4"/>
  <c r="GH21" i="4" s="1"/>
  <c r="GH22" i="4" l="1"/>
  <c r="GI20" i="4" l="1"/>
  <c r="GJ20" i="4" s="1"/>
  <c r="GK20" i="4" s="1"/>
  <c r="GL20" i="4" s="1"/>
  <c r="GI14" i="4"/>
  <c r="GJ14" i="4" s="1"/>
  <c r="GK14" i="4" s="1"/>
  <c r="GL14" i="4" s="1"/>
  <c r="GI18" i="4"/>
  <c r="GJ18" i="4" s="1"/>
  <c r="GK18" i="4" s="1"/>
  <c r="GL18" i="4" s="1"/>
  <c r="GI9" i="4"/>
  <c r="GI19" i="4"/>
  <c r="GJ19" i="4" s="1"/>
  <c r="GK19" i="4" s="1"/>
  <c r="GL19" i="4" s="1"/>
  <c r="GI13" i="4"/>
  <c r="GJ13" i="4" s="1"/>
  <c r="GK13" i="4" s="1"/>
  <c r="GL13" i="4" s="1"/>
  <c r="GI16" i="4"/>
  <c r="GJ16" i="4" s="1"/>
  <c r="GK16" i="4" s="1"/>
  <c r="GL16" i="4" s="1"/>
  <c r="GI10" i="4"/>
  <c r="GJ10" i="4" s="1"/>
  <c r="GK10" i="4" s="1"/>
  <c r="GL10" i="4" s="1"/>
  <c r="GI12" i="4"/>
  <c r="GJ12" i="4" s="1"/>
  <c r="GK12" i="4" s="1"/>
  <c r="GL12" i="4" s="1"/>
  <c r="GI11" i="4"/>
  <c r="GJ11" i="4" s="1"/>
  <c r="GK11" i="4" s="1"/>
  <c r="GL11" i="4" s="1"/>
  <c r="GI17" i="4"/>
  <c r="GJ17" i="4" s="1"/>
  <c r="GK17" i="4" s="1"/>
  <c r="GL17" i="4" s="1"/>
  <c r="GI21" i="4"/>
  <c r="GJ21" i="4" s="1"/>
  <c r="GK21" i="4" s="1"/>
  <c r="GL21" i="4" s="1"/>
  <c r="GI15" i="4"/>
  <c r="GJ15" i="4" s="1"/>
  <c r="GK15" i="4" s="1"/>
  <c r="GL15" i="4" s="1"/>
  <c r="GI22" i="4" l="1"/>
  <c r="GJ9" i="4"/>
  <c r="GJ22" i="4" l="1"/>
  <c r="GK22" i="4" s="1"/>
  <c r="GK9" i="4"/>
  <c r="GL9" i="4" s="1"/>
</calcChain>
</file>

<file path=xl/sharedStrings.xml><?xml version="1.0" encoding="utf-8"?>
<sst xmlns="http://schemas.openxmlformats.org/spreadsheetml/2006/main" count="4759" uniqueCount="220">
  <si>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</si>
  <si>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</si>
  <si>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</si>
  <si>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</si>
  <si>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</si>
  <si>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</si>
  <si>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</si>
  <si>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</si>
  <si>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</si>
  <si>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</si>
  <si>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</si>
  <si>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</si>
  <si>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</si>
  <si>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</si>
  <si>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</si>
  <si>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</si>
  <si>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</si>
  <si>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</si>
  <si>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</si>
  <si>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</si>
  <si>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</si>
  <si>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</si>
  <si>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</si>
  <si>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</si>
  <si>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</si>
  <si>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</si>
  <si>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</si>
  <si>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</si>
  <si>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</si>
  <si>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</si>
  <si>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</si>
  <si>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</si>
  <si>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</si>
  <si>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</si>
  <si>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</si>
  <si>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</si>
  <si>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</si>
  <si>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</si>
  <si>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</si>
  <si>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</si>
  <si>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</si>
  <si>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</si>
  <si>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</si>
  <si>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</si>
  <si>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</si>
  <si>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</si>
  <si>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</si>
  <si>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</si>
  <si>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</si>
  <si>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</si>
  <si>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</si>
  <si>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</si>
  <si>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</si>
  <si>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</si>
  <si>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</si>
  <si>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</si>
  <si>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</si>
  <si>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</si>
  <si>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</si>
  <si>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</si>
  <si>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</si>
  <si>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</si>
  <si>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</si>
  <si>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</si>
  <si>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</si>
  <si>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</si>
  <si>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</si>
  <si>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</si>
  <si>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</si>
  <si>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</si>
  <si>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</si>
  <si>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</si>
  <si>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</si>
  <si>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</si>
  <si>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</si>
  <si>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</si>
  <si>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</si>
  <si>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</si>
  <si>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</si>
  <si>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</si>
  <si>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</si>
  <si>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</si>
  <si>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</si>
  <si>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</si>
  <si>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</si>
  <si>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</si>
  <si>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</si>
  <si>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</si>
  <si>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</si>
  <si>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</si>
  <si>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</si>
  <si>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</si>
  <si>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</si>
  <si>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</si>
  <si>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</si>
  <si>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</si>
  <si>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</si>
  <si>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</si>
  <si>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</si>
  <si>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</si>
  <si>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</si>
  <si>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</si>
  <si>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</si>
  <si>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</si>
  <si>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</si>
  <si>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</si>
  <si>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</si>
  <si>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</si>
  <si>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</si>
  <si>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</si>
  <si>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</si>
  <si>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</si>
  <si>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</si>
  <si>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</si>
  <si>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</si>
  <si>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</si>
  <si>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</si>
  <si>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</si>
  <si>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</si>
  <si>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</si>
  <si>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</si>
  <si>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</si>
  <si>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</si>
  <si>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</si>
  <si>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</si>
  <si>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</si>
  <si>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</si>
  <si>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</si>
  <si>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</si>
  <si>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</si>
  <si>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</si>
  <si>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</si>
  <si>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</si>
  <si>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</si>
  <si>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</si>
  <si>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</si>
  <si>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</si>
  <si>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</si>
  <si>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</si>
  <si>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</si>
  <si>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</si>
  <si>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</si>
  <si>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</si>
  <si>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</si>
  <si>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</si>
  <si>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</si>
  <si>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</si>
  <si>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</si>
  <si>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</si>
  <si>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</si>
  <si>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</si>
  <si>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</si>
  <si>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</si>
  <si>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</si>
  <si>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</si>
  <si>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</si>
  <si>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</si>
  <si>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</si>
  <si>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</si>
  <si>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</si>
  <si>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</si>
  <si>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</si>
  <si>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</si>
  <si>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</si>
  <si>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</si>
  <si>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</si>
  <si>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</si>
  <si>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</si>
  <si>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</si>
  <si>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</si>
  <si>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</si>
  <si>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</si>
  <si>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</si>
  <si>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Большебичинское сельское поселение</t>
  </si>
  <si>
    <t>Большетавинское сельское поселение</t>
  </si>
  <si>
    <t>Большетебендинское сельское поселение</t>
  </si>
  <si>
    <t>Загваздинское сельское поселение</t>
  </si>
  <si>
    <t>Кайлинское сельское поселение</t>
  </si>
  <si>
    <t>Кайсинское сельское поселение</t>
  </si>
  <si>
    <t>Никольское сельское поселение</t>
  </si>
  <si>
    <t>Ореховское сельское поселение</t>
  </si>
  <si>
    <t>Пановское сельское поселение</t>
  </si>
  <si>
    <t>Слободчиковское сельское поселение</t>
  </si>
  <si>
    <t>Усть-Ишимское сельское поселение</t>
  </si>
  <si>
    <t>Утускунское сельское поселение</t>
  </si>
  <si>
    <t>Ярковское сельское поселение</t>
  </si>
  <si>
    <t>Расстояние от районного центра до административного центра поселения (R)</t>
  </si>
  <si>
    <t>Количество населенных пунктов (N)</t>
  </si>
  <si>
    <t>Плотность населения (P)</t>
  </si>
  <si>
    <t>Площадь территроии поселения (S)</t>
  </si>
  <si>
    <t>км</t>
  </si>
  <si>
    <t>ед.</t>
  </si>
  <si>
    <t>руб.</t>
  </si>
  <si>
    <t xml:space="preserve">Численность постоянного населения </t>
  </si>
  <si>
    <t xml:space="preserve">Численность  постоянного населения </t>
  </si>
  <si>
    <t>Численность  постоянного населения на начало текущего года</t>
  </si>
  <si>
    <t>Объем расходов на оплату потребления топливно-энергетических ресурсов (Т)</t>
  </si>
  <si>
    <t>Выравнивание исходя из численности  постоянного населения</t>
  </si>
  <si>
    <t>Объем дотации  для Совета МР</t>
  </si>
  <si>
    <t>ркблей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</si>
  <si>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2025 год</t>
  </si>
  <si>
    <t>кв.км</t>
  </si>
  <si>
    <t>человек/кв.км</t>
  </si>
  <si>
    <t>Kуд_рi=Rn/Rmax</t>
  </si>
  <si>
    <t>Kнпi=Nn/Nmax</t>
  </si>
  <si>
    <t>Kтбi=Тn/Тmax</t>
  </si>
  <si>
    <t xml:space="preserve">Коэффициент  количества населенных пунктов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</si>
  <si>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расстояния от районного центра до административного центра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</si>
  <si>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 плотности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</si>
  <si>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по группе населений, исходя из численности постоянного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</si>
  <si>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Коэффициент объема расходов на оплату потребления топливно-энергетических ресурсов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</si>
  <si>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Поправочный коэффициент расходных потребностей Ki= (Kуд_рi+Kнпi+Kплi+Kчислi+Kтбi)</t>
  </si>
  <si>
    <t>Kплi=2-(Pn+Pитог)/   (Pmax+Pитог)</t>
  </si>
  <si>
    <t>на 01.01.2024</t>
  </si>
  <si>
    <t>2025 год</t>
  </si>
  <si>
    <t>2026год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</si>
  <si>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2026 год</t>
  </si>
  <si>
    <t>2027 год</t>
  </si>
  <si>
    <t>Расчет размера дотации бюджетам поселений, входящих в состав Усть-Ишимского муниципального района Омской области, на выравнивание бюджетной обеспеченности на 2027год</t>
  </si>
  <si>
    <t>Kчислi=ЕСЛИ(Hin&gt;1150;1;ЕСЛИ(Hin&gt;551;2;ЕСЛИ(Hin&gt;350;3;ЕСЛИ(Hin&gt;1;4;0))))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</si>
</sst>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30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3" fontId="32" fillId="0" borderId="30" xfId="0" applyNumberFormat="1" applyFont="1" applyFill="1" applyBorder="1" applyAlignment="1">
      <alignment horizontal="center" vertical="center" wrapText="1"/>
    </xf>
    <xf numFmtId="3" fontId="32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29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1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31" fillId="34" borderId="35" xfId="0" applyFont="1" applyFill="1" applyBorder="1" applyAlignment="1">
      <alignment horizontal="center" vertical="center" wrapText="1"/>
    </xf>
    <xf numFmtId="0" fontId="31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1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1" fillId="0" borderId="53" xfId="0" applyFont="1" applyFill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8" fillId="42" borderId="57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3" fontId="32" fillId="0" borderId="51" xfId="0" applyNumberFormat="1" applyFont="1" applyFill="1" applyBorder="1" applyAlignment="1">
      <alignment horizontal="center" vertical="center" wrapText="1"/>
    </xf>
    <xf numFmtId="3" fontId="32" fillId="31" borderId="35" xfId="0" applyNumberFormat="1" applyFont="1" applyFill="1" applyBorder="1" applyAlignment="1">
      <alignment horizontal="center" vertical="center" wrapText="1"/>
    </xf>
    <xf numFmtId="164" fontId="38" fillId="43" borderId="33" xfId="0" applyNumberFormat="1" applyFont="1" applyFill="1" applyBorder="1" applyAlignment="1">
      <alignment horizontal="center" vertical="center" wrapText="1"/>
    </xf>
    <xf numFmtId="164" fontId="38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164" fontId="37" fillId="42" borderId="23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4" fontId="37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1" xfId="0" applyFont="1" applyFill="1" applyBorder="1" applyAlignment="1">
      <alignment horizontal="center" vertical="center" wrapText="1"/>
    </xf>
    <xf numFmtId="0" fontId="31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8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1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1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5" fontId="29" fillId="48" borderId="30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29" fillId="0" borderId="71" xfId="0" applyNumberFormat="1" applyFont="1" applyFill="1" applyBorder="1" applyAlignment="1">
      <alignment horizontal="right"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31" fillId="0" borderId="55" xfId="0" applyFont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168" fontId="18" fillId="26" borderId="74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3" xfId="0" applyFont="1" applyFill="1" applyBorder="1" applyAlignment="1">
      <alignment horizontal="center" vertical="center"/>
    </xf>
    <xf numFmtId="170" fontId="18" fillId="39" borderId="72" xfId="0" applyNumberFormat="1" applyFont="1" applyFill="1" applyBorder="1" applyAlignment="1">
      <alignment vertical="center"/>
    </xf>
    <xf numFmtId="167" fontId="18" fillId="34" borderId="72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3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4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3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2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34" fillId="0" borderId="60" xfId="0" applyFont="1" applyFill="1" applyBorder="1" applyAlignment="1">
      <alignment wrapText="1"/>
    </xf>
    <xf numFmtId="0" fontId="34" fillId="0" borderId="61" xfId="0" applyFont="1" applyFill="1" applyBorder="1" applyAlignment="1">
      <alignment wrapText="1"/>
    </xf>
    <xf numFmtId="0" fontId="31" fillId="0" borderId="61" xfId="0" applyFont="1" applyBorder="1" applyAlignment="1">
      <alignment vertical="top" wrapText="1"/>
    </xf>
    <xf numFmtId="3" fontId="18" fillId="0" borderId="37" xfId="0" applyNumberFormat="1" applyFont="1" applyFill="1" applyBorder="1" applyAlignment="1">
      <alignment horizontal="center" vertical="center"/>
    </xf>
    <xf numFmtId="164" fontId="18" fillId="0" borderId="37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4" fontId="18" fillId="26" borderId="37" xfId="0" applyNumberFormat="1" applyFont="1" applyFill="1" applyBorder="1" applyAlignment="1">
      <alignment horizontal="center" vertical="center"/>
    </xf>
    <xf numFmtId="3" fontId="21" fillId="0" borderId="19" xfId="0" applyNumberFormat="1" applyFont="1" applyFill="1" applyBorder="1" applyAlignment="1">
      <alignment horizontal="right" vertical="center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0" fontId="38" fillId="42" borderId="57" xfId="0" quotePrefix="1" applyFont="1" applyFill="1" applyBorder="1" applyAlignment="1">
      <alignment horizontal="center" vertical="center" wrapText="1"/>
    </xf>
    <xf numFmtId="172" fontId="31" fillId="0" borderId="23" xfId="0" applyNumberFormat="1" applyFont="1" applyFill="1" applyBorder="1" applyAlignment="1">
      <alignment horizontal="center" vertical="center"/>
    </xf>
    <xf numFmtId="172" fontId="31" fillId="0" borderId="18" xfId="0" applyNumberFormat="1" applyFont="1" applyFill="1" applyBorder="1" applyAlignment="1">
      <alignment horizontal="center" vertical="center"/>
    </xf>
    <xf numFmtId="172" fontId="31" fillId="0" borderId="18" xfId="0" applyNumberFormat="1" applyFont="1" applyBorder="1" applyAlignment="1">
      <alignment horizontal="center" vertical="center"/>
    </xf>
    <xf numFmtId="172" fontId="31" fillId="0" borderId="26" xfId="0" applyNumberFormat="1" applyFont="1" applyFill="1" applyBorder="1" applyAlignment="1">
      <alignment horizontal="center" vertical="center" wrapText="1"/>
    </xf>
    <xf numFmtId="171" fontId="21" fillId="0" borderId="19" xfId="0" applyNumberFormat="1" applyFont="1" applyFill="1" applyBorder="1" applyAlignment="1">
      <alignment horizontal="center" vertical="center"/>
    </xf>
    <xf numFmtId="171" fontId="18" fillId="26" borderId="37" xfId="0" applyNumberFormat="1" applyFont="1" applyFill="1" applyBorder="1" applyAlignment="1">
      <alignment horizontal="right" vertical="center"/>
    </xf>
    <xf numFmtId="171" fontId="18" fillId="26" borderId="33" xfId="0" applyNumberFormat="1" applyFont="1" applyFill="1" applyBorder="1" applyAlignment="1">
      <alignment horizontal="right" vertical="center"/>
    </xf>
    <xf numFmtId="169" fontId="18" fillId="26" borderId="33" xfId="0" applyNumberFormat="1" applyFont="1" applyFill="1" applyBorder="1" applyAlignment="1">
      <alignment vertical="center"/>
    </xf>
    <xf numFmtId="3" fontId="32" fillId="0" borderId="69" xfId="0" applyNumberFormat="1" applyFont="1" applyFill="1" applyBorder="1" applyAlignment="1">
      <alignment horizontal="center" vertical="center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174" fontId="18" fillId="26" borderId="37" xfId="0" applyNumberFormat="1" applyFont="1" applyFill="1" applyBorder="1" applyAlignment="1">
      <alignment horizontal="center" vertical="center"/>
    </xf>
    <xf numFmtId="174" fontId="18" fillId="26" borderId="11" xfId="0" applyNumberFormat="1" applyFont="1" applyFill="1" applyBorder="1" applyAlignment="1">
      <alignment horizontal="center" vertical="center"/>
    </xf>
    <xf numFmtId="174" fontId="18" fillId="26" borderId="33" xfId="0" applyNumberFormat="1" applyFont="1" applyFill="1" applyBorder="1" applyAlignment="1">
      <alignment horizontal="center" vertical="center"/>
    </xf>
    <xf numFmtId="164" fontId="38" fillId="42" borderId="46" xfId="0" applyNumberFormat="1" applyFont="1" applyFill="1" applyBorder="1" applyAlignment="1">
      <alignment horizontal="center" vertical="center" wrapText="1"/>
    </xf>
    <xf numFmtId="4" fontId="18" fillId="26" borderId="38" xfId="0" applyNumberFormat="1" applyFont="1" applyFill="1" applyBorder="1" applyAlignment="1">
      <alignment vertical="center"/>
    </xf>
    <xf numFmtId="4" fontId="18" fillId="26" borderId="12" xfId="0" applyNumberFormat="1" applyFont="1" applyFill="1" applyBorder="1" applyAlignment="1">
      <alignment vertical="center"/>
    </xf>
    <xf numFmtId="0" fontId="18" fillId="26" borderId="11" xfId="0" applyFont="1" applyFill="1" applyBorder="1" applyAlignment="1">
      <alignment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4" fontId="21" fillId="26" borderId="11" xfId="0" applyNumberFormat="1" applyFont="1" applyFill="1" applyBorder="1" applyAlignment="1">
      <alignment vertical="center"/>
    </xf>
    <xf numFmtId="4" fontId="18" fillId="0" borderId="37" xfId="0" applyNumberFormat="1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center" vertical="center"/>
    </xf>
    <xf numFmtId="0" fontId="22" fillId="35" borderId="21" xfId="0" applyFont="1" applyFill="1" applyBorder="1" applyAlignment="1">
      <alignment horizontal="center" vertical="center"/>
    </xf>
    <xf numFmtId="173" fontId="21" fillId="28" borderId="51" xfId="0" applyNumberFormat="1" applyFont="1" applyFill="1" applyBorder="1" applyAlignment="1">
      <alignment horizontal="center" vertical="center"/>
    </xf>
    <xf numFmtId="167" fontId="21" fillId="28" borderId="31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167" fontId="21" fillId="28" borderId="35" xfId="0" applyNumberFormat="1" applyFont="1" applyFill="1" applyBorder="1" applyAlignment="1">
      <alignment horizontal="right" vertical="center"/>
    </xf>
    <xf numFmtId="167" fontId="18" fillId="34" borderId="11" xfId="0" applyNumberFormat="1" applyFont="1" applyFill="1" applyBorder="1" applyAlignment="1">
      <alignment vertical="center"/>
    </xf>
    <xf numFmtId="167" fontId="18" fillId="36" borderId="58" xfId="0" applyNumberFormat="1" applyFont="1" applyFill="1" applyBorder="1" applyAlignment="1">
      <alignment horizontal="right" vertical="center"/>
    </xf>
    <xf numFmtId="2" fontId="18" fillId="26" borderId="37" xfId="0" applyNumberFormat="1" applyFont="1" applyFill="1" applyBorder="1" applyAlignment="1">
      <alignment vertical="center"/>
    </xf>
    <xf numFmtId="2" fontId="18" fillId="26" borderId="11" xfId="0" applyNumberFormat="1" applyFont="1" applyFill="1" applyBorder="1" applyAlignment="1">
      <alignment vertical="center"/>
    </xf>
    <xf numFmtId="2" fontId="21" fillId="0" borderId="19" xfId="0" applyNumberFormat="1" applyFont="1" applyFill="1" applyBorder="1" applyAlignment="1">
      <alignment horizontal="right" vertical="center"/>
    </xf>
    <xf numFmtId="172" fontId="31" fillId="31" borderId="38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4" xfId="0" applyFont="1" applyFill="1" applyBorder="1" applyAlignment="1">
      <alignment horizontal="center" vertical="center" wrapText="1"/>
    </xf>
    <xf numFmtId="0" fontId="31" fillId="0" borderId="54" xfId="0" applyFont="1" applyFill="1" applyBorder="1" applyAlignment="1">
      <alignment horizontal="center" vertical="center" wrapText="1"/>
    </xf>
    <xf numFmtId="0" fontId="32" fillId="32" borderId="24" xfId="0" applyFont="1" applyFill="1" applyBorder="1" applyAlignment="1">
      <alignment horizontal="center" vertical="center" wrapText="1"/>
    </xf>
    <xf numFmtId="0" fontId="32" fillId="32" borderId="54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7" fillId="26" borderId="34" xfId="0" applyFont="1" applyFill="1" applyBorder="1" applyAlignment="1">
      <alignment horizontal="center" vertical="center" wrapText="1"/>
    </xf>
    <xf numFmtId="0" fontId="24" fillId="29" borderId="36" xfId="0" applyFont="1" applyFill="1" applyBorder="1" applyAlignment="1">
      <alignment horizontal="center" vertical="center" wrapText="1"/>
    </xf>
    <xf numFmtId="0" fontId="24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25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4"/>
  <sheetViews>
    <sheetView view="pageBreakPreview" topLeftCell="A2" zoomScaleNormal="90" zoomScaleSheetLayoutView="100" workbookViewId="0">
      <selection activeCell="F17" sqref="F17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9" width="19.42578125" style="1" customWidth="1"/>
    <col min="10" max="235" width="9.140625" style="1"/>
  </cols>
  <sheetData>
    <row r="2" spans="1:9" s="4" customFormat="1" ht="27" customHeight="1" x14ac:dyDescent="0.2">
      <c r="A2" s="236" t="s">
        <v>72</v>
      </c>
      <c r="B2" s="236"/>
      <c r="C2" s="236"/>
      <c r="D2" s="236"/>
      <c r="E2" s="236"/>
      <c r="F2" s="236"/>
      <c r="G2" s="236"/>
      <c r="H2" s="236"/>
      <c r="I2" s="236"/>
    </row>
    <row r="3" spans="1:9" s="4" customFormat="1" ht="16.5" x14ac:dyDescent="0.2">
      <c r="B3" s="229"/>
      <c r="C3" s="229"/>
      <c r="D3" s="229"/>
      <c r="E3" s="229"/>
      <c r="F3" s="229"/>
      <c r="G3" s="229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43" t="s">
        <v>0</v>
      </c>
      <c r="B5" s="230" t="s">
        <v>7</v>
      </c>
      <c r="C5" s="233" t="s">
        <v>56</v>
      </c>
      <c r="D5" s="234"/>
      <c r="E5" s="234"/>
      <c r="F5" s="234"/>
      <c r="G5" s="234"/>
      <c r="H5" s="234"/>
      <c r="I5" s="235"/>
    </row>
    <row r="6" spans="1:9" s="7" customFormat="1" ht="51.75" customHeight="1" x14ac:dyDescent="0.2">
      <c r="A6" s="244"/>
      <c r="B6" s="231"/>
      <c r="C6" s="97" t="s">
        <v>194</v>
      </c>
      <c r="D6" s="97" t="s">
        <v>62</v>
      </c>
      <c r="E6" s="237" t="s">
        <v>70</v>
      </c>
      <c r="F6" s="238"/>
      <c r="G6" s="238"/>
      <c r="H6" s="238"/>
      <c r="I6" s="239"/>
    </row>
    <row r="7" spans="1:9" s="7" customFormat="1" ht="19.5" customHeight="1" thickBot="1" x14ac:dyDescent="0.25">
      <c r="A7" s="244"/>
      <c r="B7" s="231"/>
      <c r="C7" s="98" t="s">
        <v>213</v>
      </c>
      <c r="D7" s="100" t="s">
        <v>214</v>
      </c>
      <c r="E7" s="240"/>
      <c r="F7" s="241"/>
      <c r="G7" s="241"/>
      <c r="H7" s="241"/>
      <c r="I7" s="242"/>
    </row>
    <row r="8" spans="1:9" s="7" customFormat="1" ht="74.25" customHeight="1" thickBot="1" x14ac:dyDescent="0.25">
      <c r="A8" s="244"/>
      <c r="B8" s="232"/>
      <c r="C8" s="99" t="s">
        <v>1</v>
      </c>
      <c r="D8" s="99" t="s">
        <v>2</v>
      </c>
      <c r="E8" s="101" t="s">
        <v>186</v>
      </c>
      <c r="F8" s="102" t="s">
        <v>187</v>
      </c>
      <c r="G8" s="102" t="s">
        <v>188</v>
      </c>
      <c r="H8" s="102" t="s">
        <v>189</v>
      </c>
      <c r="I8" s="103" t="s">
        <v>196</v>
      </c>
    </row>
    <row r="9" spans="1:9" s="8" customFormat="1" thickBot="1" x14ac:dyDescent="0.25">
      <c r="A9" s="245"/>
      <c r="B9" s="58" t="s">
        <v>3</v>
      </c>
      <c r="C9" s="56" t="s">
        <v>5</v>
      </c>
      <c r="D9" s="56" t="s">
        <v>4</v>
      </c>
      <c r="E9" s="95" t="s">
        <v>190</v>
      </c>
      <c r="F9" s="95" t="s">
        <v>191</v>
      </c>
      <c r="G9" s="95" t="s">
        <v>202</v>
      </c>
      <c r="H9" s="95" t="s">
        <v>201</v>
      </c>
      <c r="I9" s="96" t="s">
        <v>192</v>
      </c>
    </row>
    <row r="10" spans="1:9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9">
        <v>9</v>
      </c>
    </row>
    <row r="11" spans="1:9" ht="30" x14ac:dyDescent="0.25">
      <c r="A11" s="40">
        <v>1</v>
      </c>
      <c r="B11" s="183" t="s">
        <v>173</v>
      </c>
      <c r="C11" s="186">
        <v>862</v>
      </c>
      <c r="D11" s="216">
        <v>251690</v>
      </c>
      <c r="E11" s="189">
        <v>54</v>
      </c>
      <c r="F11" s="189">
        <v>4</v>
      </c>
      <c r="G11" s="205">
        <f t="shared" ref="G11:G23" si="0">C11/H11</f>
        <v>0.40130353817504655</v>
      </c>
      <c r="H11" s="225">
        <v>2148</v>
      </c>
      <c r="I11" s="209">
        <v>168200</v>
      </c>
    </row>
    <row r="12" spans="1:9" ht="30" x14ac:dyDescent="0.25">
      <c r="A12" s="41">
        <v>2</v>
      </c>
      <c r="B12" s="184" t="s">
        <v>174</v>
      </c>
      <c r="C12" s="188">
        <v>188</v>
      </c>
      <c r="D12" s="18">
        <v>61710</v>
      </c>
      <c r="E12" s="126">
        <v>23</v>
      </c>
      <c r="F12" s="126">
        <v>3</v>
      </c>
      <c r="G12" s="206">
        <f t="shared" si="0"/>
        <v>0.16982836495031617</v>
      </c>
      <c r="H12" s="226">
        <v>1107</v>
      </c>
      <c r="I12" s="210">
        <v>78000</v>
      </c>
    </row>
    <row r="13" spans="1:9" ht="30" x14ac:dyDescent="0.25">
      <c r="A13" s="41">
        <v>3</v>
      </c>
      <c r="B13" s="184" t="s">
        <v>175</v>
      </c>
      <c r="C13" s="188">
        <v>221</v>
      </c>
      <c r="D13" s="18">
        <v>86380</v>
      </c>
      <c r="E13" s="126">
        <v>25</v>
      </c>
      <c r="F13" s="126">
        <v>4</v>
      </c>
      <c r="G13" s="206">
        <f t="shared" si="0"/>
        <v>2.2783505154639174</v>
      </c>
      <c r="H13" s="226">
        <v>97</v>
      </c>
      <c r="I13" s="210">
        <v>87400</v>
      </c>
    </row>
    <row r="14" spans="1:9" ht="30" x14ac:dyDescent="0.25">
      <c r="A14" s="41">
        <v>4</v>
      </c>
      <c r="B14" s="184" t="s">
        <v>176</v>
      </c>
      <c r="C14" s="188">
        <v>526</v>
      </c>
      <c r="D14" s="18">
        <v>142590</v>
      </c>
      <c r="E14" s="126">
        <v>67</v>
      </c>
      <c r="F14" s="126">
        <v>4</v>
      </c>
      <c r="G14" s="206">
        <f t="shared" si="0"/>
        <v>4.3114754098360653</v>
      </c>
      <c r="H14" s="226">
        <v>122</v>
      </c>
      <c r="I14" s="210">
        <v>140400</v>
      </c>
    </row>
    <row r="15" spans="1:9" x14ac:dyDescent="0.25">
      <c r="A15" s="41">
        <v>5</v>
      </c>
      <c r="B15" s="184" t="s">
        <v>177</v>
      </c>
      <c r="C15" s="188">
        <v>171</v>
      </c>
      <c r="D15" s="18">
        <v>72740</v>
      </c>
      <c r="E15" s="18">
        <v>72</v>
      </c>
      <c r="F15" s="126">
        <v>4</v>
      </c>
      <c r="G15" s="206">
        <f t="shared" si="0"/>
        <v>1.0555555555555556</v>
      </c>
      <c r="H15" s="226">
        <v>162</v>
      </c>
      <c r="I15" s="210">
        <v>475800</v>
      </c>
    </row>
    <row r="16" spans="1:9" x14ac:dyDescent="0.25">
      <c r="A16" s="41">
        <v>6</v>
      </c>
      <c r="B16" s="184" t="s">
        <v>178</v>
      </c>
      <c r="C16" s="188">
        <v>98</v>
      </c>
      <c r="D16" s="18">
        <v>55210</v>
      </c>
      <c r="E16" s="126">
        <v>46</v>
      </c>
      <c r="F16" s="126">
        <v>2</v>
      </c>
      <c r="G16" s="206">
        <f t="shared" si="0"/>
        <v>0.66666666666666663</v>
      </c>
      <c r="H16" s="226">
        <v>147</v>
      </c>
      <c r="I16" s="210">
        <v>358800</v>
      </c>
    </row>
    <row r="17" spans="1:9" x14ac:dyDescent="0.25">
      <c r="A17" s="41">
        <v>7</v>
      </c>
      <c r="B17" s="184" t="s">
        <v>179</v>
      </c>
      <c r="C17" s="188">
        <v>375</v>
      </c>
      <c r="D17" s="18">
        <v>245580</v>
      </c>
      <c r="E17" s="126">
        <v>5</v>
      </c>
      <c r="F17" s="126">
        <v>2</v>
      </c>
      <c r="G17" s="206">
        <f t="shared" si="0"/>
        <v>3.2327586206896552</v>
      </c>
      <c r="H17" s="226">
        <v>116</v>
      </c>
      <c r="I17" s="210">
        <v>124800</v>
      </c>
    </row>
    <row r="18" spans="1:9" x14ac:dyDescent="0.25">
      <c r="A18" s="41">
        <v>8</v>
      </c>
      <c r="B18" s="184" t="s">
        <v>180</v>
      </c>
      <c r="C18" s="188">
        <v>279</v>
      </c>
      <c r="D18" s="18">
        <v>130530</v>
      </c>
      <c r="E18" s="126">
        <v>44</v>
      </c>
      <c r="F18" s="126">
        <v>3</v>
      </c>
      <c r="G18" s="206">
        <f t="shared" si="0"/>
        <v>0.41579731743666171</v>
      </c>
      <c r="H18" s="226">
        <v>671</v>
      </c>
      <c r="I18" s="210">
        <v>507000</v>
      </c>
    </row>
    <row r="19" spans="1:9" x14ac:dyDescent="0.25">
      <c r="A19" s="41">
        <v>9</v>
      </c>
      <c r="B19" s="184" t="s">
        <v>181</v>
      </c>
      <c r="C19" s="188">
        <v>671</v>
      </c>
      <c r="D19" s="18">
        <v>191220</v>
      </c>
      <c r="E19" s="126">
        <v>38</v>
      </c>
      <c r="F19" s="126">
        <v>6</v>
      </c>
      <c r="G19" s="206">
        <f t="shared" si="0"/>
        <v>0.57596566523605153</v>
      </c>
      <c r="H19" s="226">
        <v>1165</v>
      </c>
      <c r="I19" s="210">
        <v>95200</v>
      </c>
    </row>
    <row r="20" spans="1:9" ht="30" x14ac:dyDescent="0.25">
      <c r="A20" s="41">
        <v>10</v>
      </c>
      <c r="B20" s="184" t="s">
        <v>182</v>
      </c>
      <c r="C20" s="188">
        <v>180</v>
      </c>
      <c r="D20" s="18">
        <v>83430</v>
      </c>
      <c r="E20" s="126">
        <v>34</v>
      </c>
      <c r="F20" s="126">
        <v>3</v>
      </c>
      <c r="G20" s="206">
        <f t="shared" si="0"/>
        <v>1.4634146341463414</v>
      </c>
      <c r="H20" s="226">
        <v>123</v>
      </c>
      <c r="I20" s="210">
        <v>101630</v>
      </c>
    </row>
    <row r="21" spans="1:9" ht="30" x14ac:dyDescent="0.25">
      <c r="A21" s="41">
        <v>11</v>
      </c>
      <c r="B21" s="184" t="s">
        <v>183</v>
      </c>
      <c r="C21" s="188">
        <v>4810</v>
      </c>
      <c r="D21" s="18">
        <v>3955560</v>
      </c>
      <c r="E21" s="126">
        <v>0</v>
      </c>
      <c r="F21" s="18">
        <v>8</v>
      </c>
      <c r="G21" s="206">
        <f t="shared" si="0"/>
        <v>6.8613326105872794</v>
      </c>
      <c r="H21" s="226">
        <v>701.03</v>
      </c>
      <c r="I21" s="210">
        <v>337540</v>
      </c>
    </row>
    <row r="22" spans="1:9" ht="19.5" customHeight="1" x14ac:dyDescent="0.25">
      <c r="A22" s="41">
        <v>12</v>
      </c>
      <c r="B22" s="184" t="s">
        <v>184</v>
      </c>
      <c r="C22" s="188">
        <v>374</v>
      </c>
      <c r="D22" s="18">
        <v>127770</v>
      </c>
      <c r="E22" s="126">
        <v>17</v>
      </c>
      <c r="F22" s="126">
        <v>3</v>
      </c>
      <c r="G22" s="206">
        <f t="shared" si="0"/>
        <v>0.30555555555555558</v>
      </c>
      <c r="H22" s="226">
        <v>1224</v>
      </c>
      <c r="I22" s="210">
        <v>163800</v>
      </c>
    </row>
    <row r="23" spans="1:9" ht="16.5" thickBot="1" x14ac:dyDescent="0.25">
      <c r="A23" s="41">
        <v>13</v>
      </c>
      <c r="B23" s="185" t="s">
        <v>185</v>
      </c>
      <c r="C23" s="188">
        <v>402</v>
      </c>
      <c r="D23" s="18">
        <v>124620</v>
      </c>
      <c r="E23" s="126">
        <v>22</v>
      </c>
      <c r="F23" s="126">
        <v>3</v>
      </c>
      <c r="G23" s="207">
        <f t="shared" si="0"/>
        <v>3.9029126213592233</v>
      </c>
      <c r="H23" s="226">
        <v>103</v>
      </c>
      <c r="I23" s="210">
        <v>327600</v>
      </c>
    </row>
    <row r="24" spans="1:9" ht="16.5" thickBot="1" x14ac:dyDescent="0.25">
      <c r="A24" s="20"/>
      <c r="B24" s="21"/>
      <c r="C24" s="22">
        <f>SUM(C11:C23)</f>
        <v>9157</v>
      </c>
      <c r="D24" s="217">
        <f>SUM(D11:D23)</f>
        <v>5529030</v>
      </c>
      <c r="E24" s="198">
        <f>SUM(E11:E23)/12</f>
        <v>37.25</v>
      </c>
      <c r="F24" s="198">
        <f>SUM(F11:F23)/13</f>
        <v>3.7692307692307692</v>
      </c>
      <c r="G24" s="198">
        <f>SUM(G11:G23)/13</f>
        <v>1.9723782365891027</v>
      </c>
      <c r="H24" s="227">
        <f t="shared" ref="H24:I24" si="1">SUM(H11:H23)</f>
        <v>7886.03</v>
      </c>
      <c r="I24" s="190">
        <f t="shared" si="1"/>
        <v>2966170</v>
      </c>
    </row>
  </sheetData>
  <sheetProtection selectLockedCells="1" selectUnlockedCells="1"/>
  <mergeCells count="6">
    <mergeCell ref="B3:G3"/>
    <mergeCell ref="B5:B8"/>
    <mergeCell ref="C5:I5"/>
    <mergeCell ref="A2:I2"/>
    <mergeCell ref="E6:I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zoomScale="110" zoomScaleNormal="110" workbookViewId="0">
      <selection activeCell="F6" sqref="F6"/>
    </sheetView>
  </sheetViews>
  <sheetFormatPr defaultRowHeight="15.75" x14ac:dyDescent="0.2"/>
  <cols>
    <col min="1" max="1" width="6.140625" style="9" customWidth="1"/>
    <col min="2" max="2" width="37.5703125" style="9" customWidth="1"/>
    <col min="3" max="6" width="16.85546875" style="9" customWidth="1"/>
    <col min="7" max="7" width="18.85546875" style="9" customWidth="1"/>
    <col min="8" max="8" width="21.28515625" style="9" customWidth="1"/>
    <col min="9" max="9" width="13.42578125" style="9" bestFit="1" customWidth="1"/>
    <col min="10" max="16384" width="9.140625" style="9"/>
  </cols>
  <sheetData>
    <row r="1" spans="1:9" x14ac:dyDescent="0.2">
      <c r="C1" s="10"/>
      <c r="D1" s="10"/>
      <c r="E1" s="10"/>
      <c r="F1" s="10"/>
      <c r="G1" s="10"/>
    </row>
    <row r="2" spans="1:9" s="11" customFormat="1" ht="18.75" x14ac:dyDescent="0.2">
      <c r="A2" s="246" t="s">
        <v>63</v>
      </c>
      <c r="B2" s="246"/>
      <c r="C2" s="246"/>
      <c r="D2" s="246"/>
      <c r="E2" s="246"/>
      <c r="F2" s="246"/>
      <c r="G2" s="246"/>
      <c r="H2" s="246"/>
    </row>
    <row r="3" spans="1:9" ht="16.5" thickBot="1" x14ac:dyDescent="0.25">
      <c r="B3" s="12"/>
    </row>
    <row r="4" spans="1:9" s="7" customFormat="1" ht="103.5" customHeight="1" thickBot="1" x14ac:dyDescent="0.25">
      <c r="A4" s="247" t="s">
        <v>0</v>
      </c>
      <c r="B4" s="247" t="s">
        <v>61</v>
      </c>
      <c r="C4" s="191" t="s">
        <v>207</v>
      </c>
      <c r="D4" s="192" t="s">
        <v>206</v>
      </c>
      <c r="E4" s="192" t="s">
        <v>208</v>
      </c>
      <c r="F4" s="91" t="s">
        <v>209</v>
      </c>
      <c r="G4" s="208" t="s">
        <v>210</v>
      </c>
      <c r="H4" s="249" t="s">
        <v>211</v>
      </c>
    </row>
    <row r="5" spans="1:9" s="13" customFormat="1" ht="49.5" customHeight="1" thickBot="1" x14ac:dyDescent="0.25">
      <c r="A5" s="248"/>
      <c r="B5" s="248"/>
      <c r="C5" s="90" t="s">
        <v>203</v>
      </c>
      <c r="D5" s="90" t="s">
        <v>204</v>
      </c>
      <c r="E5" s="193" t="s">
        <v>212</v>
      </c>
      <c r="F5" s="92" t="s">
        <v>219</v>
      </c>
      <c r="G5" s="90" t="s">
        <v>205</v>
      </c>
      <c r="H5" s="250"/>
    </row>
    <row r="6" spans="1:9" s="14" customFormat="1" thickBot="1" x14ac:dyDescent="0.25">
      <c r="A6" s="42">
        <v>1</v>
      </c>
      <c r="B6" s="43">
        <f t="shared" ref="B6:F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93">
        <f t="shared" si="0"/>
        <v>6</v>
      </c>
      <c r="G6" s="202">
        <v>7</v>
      </c>
      <c r="H6" s="94">
        <v>8</v>
      </c>
    </row>
    <row r="7" spans="1:9" ht="16.5" thickBot="1" x14ac:dyDescent="0.3">
      <c r="A7" s="139">
        <v>1</v>
      </c>
      <c r="B7" s="183" t="s">
        <v>173</v>
      </c>
      <c r="C7" s="194">
        <f>'Исходные данные 25 г.'!E11/'Исходные данные 25 г.'!E15</f>
        <v>0.75</v>
      </c>
      <c r="D7" s="195">
        <f>'Исходные данные 25 г.'!F11/'Исходные данные 25 г.'!F21</f>
        <v>0.5</v>
      </c>
      <c r="E7" s="196">
        <f>2-('Исходные данные 25 г.'!G11+'Исходные данные 25 г.'!G24)/('Исходные данные 25 г.'!G21+'Исходные данные 25 г.'!G24)</f>
        <v>1.7312927923690331</v>
      </c>
      <c r="F7" s="197">
        <f>IF('Исходные данные 25 г.'!C11&gt;1150,1,IF('Исходные данные 25 г.'!C11&gt;551,2,IF('Исходные данные 25 г.'!C11&gt;351,3,IF('Исходные данные 25 г.'!C11&gt;1,4,0))))</f>
        <v>2</v>
      </c>
      <c r="G7" s="197">
        <f>'Исходные данные 25 г.'!I11/'Исходные данные 25 г.'!I18</f>
        <v>0.33175542406311637</v>
      </c>
      <c r="H7" s="228">
        <f>SUM(C7:G7)</f>
        <v>5.3130482164321498</v>
      </c>
      <c r="I7" s="19"/>
    </row>
    <row r="8" spans="1:9" s="15" customFormat="1" ht="16.5" thickBot="1" x14ac:dyDescent="0.3">
      <c r="A8" s="88">
        <v>2</v>
      </c>
      <c r="B8" s="184" t="s">
        <v>174</v>
      </c>
      <c r="C8" s="194">
        <f>'Исходные данные 25 г.'!E12/'Исходные данные 25 г.'!E15</f>
        <v>0.31944444444444442</v>
      </c>
      <c r="D8" s="195">
        <f>'Исходные данные 25 г.'!F12/'Исходные данные 25 г.'!F21</f>
        <v>0.375</v>
      </c>
      <c r="E8" s="196">
        <f>2-('Исходные данные 25 г.'!G12+'Исходные данные 25 г.'!G24)/('Исходные данные 25 г.'!G21+'Исходные данные 25 г.'!G24)</f>
        <v>1.7574964090856384</v>
      </c>
      <c r="F8" s="197">
        <f>IF('Исходные данные 25 г.'!C12&gt;1150,1,IF('Исходные данные 25 г.'!C12&gt;551,2,IF('Исходные данные 25 г.'!C12&gt;351,3,IF('Исходные данные 25 г.'!C12&gt;1,4,0))))</f>
        <v>4</v>
      </c>
      <c r="G8" s="197">
        <f>'Исходные данные 25 г.'!I12/'Исходные данные 25 г.'!I18</f>
        <v>0.15384615384615385</v>
      </c>
      <c r="H8" s="228">
        <f t="shared" ref="H8:H19" si="1">SUM(C8:G8)</f>
        <v>6.6057870073762368</v>
      </c>
      <c r="I8" s="19"/>
    </row>
    <row r="9" spans="1:9" s="15" customFormat="1" ht="21" customHeight="1" thickBot="1" x14ac:dyDescent="0.3">
      <c r="A9" s="89">
        <v>3</v>
      </c>
      <c r="B9" s="184" t="s">
        <v>175</v>
      </c>
      <c r="C9" s="194">
        <f>'Исходные данные 25 г.'!E13/'Исходные данные 25 г.'!E15</f>
        <v>0.34722222222222221</v>
      </c>
      <c r="D9" s="195">
        <f>'Исходные данные 25 г.'!F13/'Исходные данные 25 г.'!F21</f>
        <v>0.5</v>
      </c>
      <c r="E9" s="196">
        <f>2-('Исходные данные 25 г.'!G13+'Исходные данные 25 г.'!G24)/('Исходные данные 25 г.'!G21+'Исходные данные 25 г.'!G24)</f>
        <v>1.5188059892845907</v>
      </c>
      <c r="F9" s="197">
        <f>IF('Исходные данные 25 г.'!C13&gt;1150,1,IF('Исходные данные 25 г.'!C13&gt;551,2,IF('Исходные данные 25 г.'!C13&gt;351,3,IF('Исходные данные 25 г.'!C13&gt;1,4,0))))</f>
        <v>4</v>
      </c>
      <c r="G9" s="197">
        <f>'Исходные данные 25 г.'!I13/'Исходные данные 25 г.'!I18</f>
        <v>0.17238658777120316</v>
      </c>
      <c r="H9" s="228">
        <f t="shared" si="1"/>
        <v>6.5384147992780157</v>
      </c>
      <c r="I9" s="19"/>
    </row>
    <row r="10" spans="1:9" s="15" customFormat="1" ht="16.5" thickBot="1" x14ac:dyDescent="0.3">
      <c r="A10" s="88">
        <v>4</v>
      </c>
      <c r="B10" s="184" t="s">
        <v>176</v>
      </c>
      <c r="C10" s="194">
        <f>'Исходные данные 25 г.'!E14/'Исходные данные 25 г.'!E15</f>
        <v>0.93055555555555558</v>
      </c>
      <c r="D10" s="195">
        <f>'Исходные данные 25 г.'!F14/'Исходные данные 25 г.'!F21</f>
        <v>0.5</v>
      </c>
      <c r="E10" s="196">
        <f>2-('Исходные данные 25 г.'!G14+'Исходные данные 25 г.'!G24)/('Исходные данные 25 г.'!G21+'Исходные данные 25 г.'!G24)</f>
        <v>1.2886507431433816</v>
      </c>
      <c r="F10" s="197">
        <f>IF('Исходные данные 25 г.'!C14&gt;1150,1,IF('Исходные данные 25 г.'!C14&gt;551,2,IF('Исходные данные 25 г.'!C14&gt;351,3,IF('Исходные данные 25 г.'!C14&gt;1,4,0))))</f>
        <v>3</v>
      </c>
      <c r="G10" s="197">
        <f>'Исходные данные 25 г.'!I14/'Исходные данные 25 г.'!I18</f>
        <v>0.27692307692307694</v>
      </c>
      <c r="H10" s="228">
        <f t="shared" si="1"/>
        <v>5.9961293756220142</v>
      </c>
      <c r="I10" s="19"/>
    </row>
    <row r="11" spans="1:9" s="15" customFormat="1" ht="16.5" thickBot="1" x14ac:dyDescent="0.3">
      <c r="A11" s="89">
        <v>5</v>
      </c>
      <c r="B11" s="184" t="s">
        <v>177</v>
      </c>
      <c r="C11" s="194">
        <f>'Исходные данные 25 г.'!E15/'Исходные данные 25 г.'!E15</f>
        <v>1</v>
      </c>
      <c r="D11" s="195">
        <f>'Исходные данные 25 г.'!F15/'Исходные данные 25 г.'!F21</f>
        <v>0.5</v>
      </c>
      <c r="E11" s="196">
        <f>2-('Исходные данные 25 г.'!G15+'Исходные данные 25 г.'!G24)/('Исходные данные 25 г.'!G21+'Исходные данные 25 г.'!G24)</f>
        <v>1.6572296915160507</v>
      </c>
      <c r="F11" s="197">
        <f>IF('Исходные данные 25 г.'!C15&gt;1150,1,IF('Исходные данные 25 г.'!C15&gt;551,2,IF('Исходные данные 25 г.'!C15&gt;351,3,IF('Исходные данные 25 г.'!C15&gt;1,4,0))))</f>
        <v>4</v>
      </c>
      <c r="G11" s="197">
        <f>'Исходные данные 25 г.'!I15/'Исходные данные 25 г.'!I18</f>
        <v>0.93846153846153846</v>
      </c>
      <c r="H11" s="228">
        <f t="shared" si="1"/>
        <v>8.0956912299775894</v>
      </c>
      <c r="I11" s="19"/>
    </row>
    <row r="12" spans="1:9" s="15" customFormat="1" ht="16.5" thickBot="1" x14ac:dyDescent="0.3">
      <c r="A12" s="88">
        <v>6</v>
      </c>
      <c r="B12" s="184" t="s">
        <v>178</v>
      </c>
      <c r="C12" s="194">
        <f>'Исходные данные 25 г.'!E16/'Исходные данные 25 г.'!E15</f>
        <v>0.63888888888888884</v>
      </c>
      <c r="D12" s="195">
        <f>'Исходные данные 25 г.'!F16/'Исходные данные 25 г.'!F21</f>
        <v>0.25</v>
      </c>
      <c r="E12" s="196">
        <f>2-('Исходные данные 25 г.'!G16+'Исходные данные 25 г.'!G24)/('Исходные данные 25 г.'!G21+'Исходные данные 25 г.'!G24)</f>
        <v>1.7012529673076953</v>
      </c>
      <c r="F12" s="197">
        <f>IF('Исходные данные 25 г.'!C16&gt;1150,1,IF('Исходные данные 25 г.'!C16&gt;551,2,IF('Исходные данные 25 г.'!C16&gt;351,3,IF('Исходные данные 25 г.'!C16&gt;1,4,0))))</f>
        <v>4</v>
      </c>
      <c r="G12" s="197">
        <f>'Исходные данные 25 г.'!I16/'Исходные данные 25 г.'!I18</f>
        <v>0.70769230769230773</v>
      </c>
      <c r="H12" s="228">
        <f t="shared" si="1"/>
        <v>7.2978341638888917</v>
      </c>
      <c r="I12" s="19"/>
    </row>
    <row r="13" spans="1:9" s="15" customFormat="1" ht="16.5" thickBot="1" x14ac:dyDescent="0.3">
      <c r="A13" s="89">
        <v>7</v>
      </c>
      <c r="B13" s="184" t="s">
        <v>179</v>
      </c>
      <c r="C13" s="194">
        <f>'Исходные данные 25 г.'!E17/'Исходные данные 25 г.'!E15</f>
        <v>6.9444444444444448E-2</v>
      </c>
      <c r="D13" s="195">
        <f>'Исходные данные 25 г.'!F17/'Исходные данные 25 г.'!F21</f>
        <v>0.25</v>
      </c>
      <c r="E13" s="196">
        <f>2-('Исходные данные 25 г.'!G17+'Исходные данные 25 г.'!G24)/('Исходные данные 25 г.'!G21+'Исходные данные 25 г.'!G24)</f>
        <v>1.4107644061111042</v>
      </c>
      <c r="F13" s="197">
        <f>IF('Исходные данные 25 г.'!C17&gt;1150,1,IF('Исходные данные 25 г.'!C17&gt;551,2,IF('Исходные данные 25 г.'!C17&gt;351,3,IF('Исходные данные 25 г.'!C17&gt;1,4,0))))</f>
        <v>3</v>
      </c>
      <c r="G13" s="197">
        <f>'Исходные данные 25 г.'!I17/'Исходные данные 25 г.'!I18</f>
        <v>0.24615384615384617</v>
      </c>
      <c r="H13" s="228">
        <f t="shared" si="1"/>
        <v>4.976362696709395</v>
      </c>
      <c r="I13" s="19"/>
    </row>
    <row r="14" spans="1:9" s="15" customFormat="1" ht="16.5" thickBot="1" x14ac:dyDescent="0.3">
      <c r="A14" s="88">
        <v>8</v>
      </c>
      <c r="B14" s="184" t="s">
        <v>180</v>
      </c>
      <c r="C14" s="194">
        <f>'Исходные данные 25 г.'!E18/'Исходные данные 25 г.'!E15</f>
        <v>0.61111111111111116</v>
      </c>
      <c r="D14" s="195">
        <f>'Исходные данные 25 г.'!F18/'Исходные данные 25 г.'!F21</f>
        <v>0.375</v>
      </c>
      <c r="E14" s="196">
        <f>2-('Исходные данные 25 г.'!G18+'Исходные данные 25 г.'!G24)/('Исходные данные 25 г.'!G21+'Исходные данные 25 г.'!G24)</f>
        <v>1.7296520572903828</v>
      </c>
      <c r="F14" s="197">
        <f>IF('Исходные данные 25 г.'!C18&gt;1150,1,IF('Исходные данные 25 г.'!C18&gt;551,2,IF('Исходные данные 25 г.'!C18&gt;351,3,IF('Исходные данные 25 г.'!C18&gt;1,4,0))))</f>
        <v>4</v>
      </c>
      <c r="G14" s="197">
        <f>'Исходные данные 25 г.'!I18/'Исходные данные 25 г.'!I18</f>
        <v>1</v>
      </c>
      <c r="H14" s="228">
        <f t="shared" si="1"/>
        <v>7.7157631684014945</v>
      </c>
      <c r="I14" s="19"/>
    </row>
    <row r="15" spans="1:9" s="15" customFormat="1" ht="16.5" thickBot="1" x14ac:dyDescent="0.3">
      <c r="A15" s="89">
        <v>9</v>
      </c>
      <c r="B15" s="184" t="s">
        <v>181</v>
      </c>
      <c r="C15" s="194">
        <f>'Исходные данные 25 г.'!E19/'Исходные данные 25 г.'!E15</f>
        <v>0.52777777777777779</v>
      </c>
      <c r="D15" s="195">
        <f>'Исходные данные 25 г.'!F19/'Исходные данные 25 г.'!F21</f>
        <v>0.75</v>
      </c>
      <c r="E15" s="196">
        <f>2-('Исходные данные 25 г.'!G19+'Исходные данные 25 г.'!G24)/('Исходные данные 25 г.'!G21+'Исходные данные 25 г.'!G24)</f>
        <v>1.7115205663948454</v>
      </c>
      <c r="F15" s="197">
        <f>IF('Исходные данные 25 г.'!C19&gt;1150,1,IF('Исходные данные 25 г.'!C19&gt;551,2,IF('Исходные данные 25 г.'!C19&gt;351,3,IF('Исходные данные 25 г.'!C19&gt;1,4,0))))</f>
        <v>2</v>
      </c>
      <c r="G15" s="197">
        <f>'Исходные данные 25 г.'!I19/'Исходные данные 25 г.'!I18</f>
        <v>0.18777120315581855</v>
      </c>
      <c r="H15" s="228">
        <f t="shared" si="1"/>
        <v>5.1770695473284416</v>
      </c>
      <c r="I15" s="19"/>
    </row>
    <row r="16" spans="1:9" s="15" customFormat="1" ht="16.5" thickBot="1" x14ac:dyDescent="0.3">
      <c r="A16" s="88">
        <v>10</v>
      </c>
      <c r="B16" s="184" t="s">
        <v>182</v>
      </c>
      <c r="C16" s="194">
        <f>'Исходные данные 25 г.'!E20/'Исходные данные 25 г.'!E15</f>
        <v>0.47222222222222221</v>
      </c>
      <c r="D16" s="195">
        <f>'Исходные данные 25 г.'!F20/'Исходные данные 25 г.'!F21</f>
        <v>0.375</v>
      </c>
      <c r="E16" s="196">
        <f>2-('Исходные данные 25 г.'!G20+'Исходные данные 25 г.'!G24)/('Исходные данные 25 г.'!G21+'Исходные данные 25 г.'!G24)</f>
        <v>1.6110589388565209</v>
      </c>
      <c r="F16" s="197">
        <f>IF('Исходные данные 25 г.'!C20&gt;1150,1,IF('Исходные данные 25 г.'!C20&gt;551,2,IF('Исходные данные 25 г.'!C20&gt;351,3,IF('Исходные данные 25 г.'!C20&gt;1,4,0))))</f>
        <v>4</v>
      </c>
      <c r="G16" s="197">
        <f>'Исходные данные 25 г.'!I20/'Исходные данные 25 г.'!I18</f>
        <v>0.20045364891518738</v>
      </c>
      <c r="H16" s="228">
        <f t="shared" si="1"/>
        <v>6.6587348099939305</v>
      </c>
      <c r="I16" s="19"/>
    </row>
    <row r="17" spans="1:9" s="15" customFormat="1" ht="16.5" thickBot="1" x14ac:dyDescent="0.3">
      <c r="A17" s="89">
        <v>11</v>
      </c>
      <c r="B17" s="184" t="s">
        <v>183</v>
      </c>
      <c r="C17" s="194">
        <f>'Исходные данные 25 г.'!E21/'Исходные данные 25 г.'!E15</f>
        <v>0</v>
      </c>
      <c r="D17" s="195">
        <f>'Исходные данные 25 г.'!F21/'Исходные данные 25 г.'!F21</f>
        <v>1</v>
      </c>
      <c r="E17" s="196">
        <f>2-('Исходные данные 25 г.'!G21+'Исходные данные 25 г.'!G24)/('Исходные данные 25 г.'!G21+'Исходные данные 25 г.'!G24)</f>
        <v>1</v>
      </c>
      <c r="F17" s="197">
        <f>IF('Исходные данные 25 г.'!C21&gt;1150,1,IF('Исходные данные 25 г.'!C21&gt;551,2,IF('Исходные данные 25 г.'!C21&gt;351,3,IF('Исходные данные 25 г.'!C21&gt;1,4,0))))</f>
        <v>1</v>
      </c>
      <c r="G17" s="197">
        <f>'Исходные данные 25 г.'!I21/'Исходные данные 25 г.'!I18</f>
        <v>0.66575936883629194</v>
      </c>
      <c r="H17" s="228">
        <f t="shared" si="1"/>
        <v>3.6657593688362917</v>
      </c>
      <c r="I17" s="19"/>
    </row>
    <row r="18" spans="1:9" ht="16.5" thickBot="1" x14ac:dyDescent="0.3">
      <c r="A18" s="88">
        <v>12</v>
      </c>
      <c r="B18" s="184" t="s">
        <v>184</v>
      </c>
      <c r="C18" s="194">
        <f>'Исходные данные 25 г.'!E22/'Исходные данные 25 г.'!E15</f>
        <v>0.2361111111111111</v>
      </c>
      <c r="D18" s="195">
        <f>'Исходные данные 25 г.'!F22/'Исходные данные 25 г.'!F21</f>
        <v>0.375</v>
      </c>
      <c r="E18" s="196">
        <f>2-('Исходные данные 25 г.'!G22+'Исходные данные 25 г.'!G24)/('Исходные данные 25 г.'!G21+'Исходные данные 25 г.'!G24)</f>
        <v>1.7421317233999367</v>
      </c>
      <c r="F18" s="197">
        <f>IF('Исходные данные 25 г.'!C22&gt;1150,1,IF('Исходные данные 25 г.'!C22&gt;551,2,IF('Исходные данные 25 г.'!C22&gt;351,3,IF('Исходные данные 25 г.'!C22&gt;1,4,0))))</f>
        <v>3</v>
      </c>
      <c r="G18" s="197">
        <f>'Исходные данные 25 г.'!I22/'Исходные данные 25 г.'!I18</f>
        <v>0.32307692307692309</v>
      </c>
      <c r="H18" s="228">
        <f t="shared" si="1"/>
        <v>5.6763197575879705</v>
      </c>
    </row>
    <row r="19" spans="1:9" x14ac:dyDescent="0.2">
      <c r="A19" s="89">
        <v>13</v>
      </c>
      <c r="B19" s="185" t="s">
        <v>185</v>
      </c>
      <c r="C19" s="194">
        <f>'Исходные данные 25 г.'!E23/'Исходные данные 25 г.'!E15</f>
        <v>0.30555555555555558</v>
      </c>
      <c r="D19" s="195">
        <f>'Исходные данные 25 г.'!F23/'Исходные данные 25 г.'!F21</f>
        <v>0.375</v>
      </c>
      <c r="E19" s="196">
        <f>2-('Исходные данные 25 г.'!G23+'Исходные данные 25 г.'!G24)/('Исходные данные 25 г.'!G21+'Исходные данные 25 г.'!G24)</f>
        <v>1.3349011576684886</v>
      </c>
      <c r="F19" s="197">
        <f>IF('Исходные данные 25 г.'!C23&gt;1150,1,IF('Исходные данные 25 г.'!C23&gt;551,2,IF('Исходные данные 25 г.'!C23&gt;351,3,IF('Исходные данные 25 г.'!C23&gt;1,4,0))))</f>
        <v>3</v>
      </c>
      <c r="G19" s="197">
        <f>'Исходные данные 25 г.'!I23/'Исходные данные 25 г.'!I18</f>
        <v>0.64615384615384619</v>
      </c>
      <c r="H19" s="228">
        <f t="shared" si="1"/>
        <v>5.6616105593778903</v>
      </c>
    </row>
    <row r="21" spans="1:9" ht="116.25" customHeight="1" x14ac:dyDescent="0.2">
      <c r="A21" s="251" t="s">
        <v>82</v>
      </c>
      <c r="B21" s="251"/>
      <c r="C21" s="251"/>
      <c r="D21" s="251"/>
      <c r="E21" s="251"/>
      <c r="F21" s="251"/>
      <c r="G21" s="251"/>
      <c r="H21" s="251"/>
    </row>
  </sheetData>
  <sheetProtection selectLockedCells="1" selectUnlockedCells="1"/>
  <mergeCells count="5">
    <mergeCell ref="A2:H2"/>
    <mergeCell ref="A4:A5"/>
    <mergeCell ref="B4:B5"/>
    <mergeCell ref="H4:H5"/>
    <mergeCell ref="A21:H21"/>
  </mergeCells>
  <pageMargins left="0.24" right="0.28999999999999998" top="0.52" bottom="0.74803149606299213" header="0.27" footer="0.51181102362204722"/>
  <pageSetup paperSize="9" scale="66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view="pageBreakPreview" zoomScale="60" zoomScaleNormal="60" workbookViewId="0">
      <pane xSplit="1" topLeftCell="FP1" activePane="topRight" state="frozen"/>
      <selection pane="topRight" activeCell="GN22" sqref="GN22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2.85546875" style="16" customWidth="1"/>
    <col min="192" max="192" width="19.7109375" style="16" customWidth="1"/>
    <col min="193" max="193" width="17.7109375" style="16" customWidth="1"/>
    <col min="194" max="194" width="13.42578125" style="16" customWidth="1"/>
    <col min="195" max="195" width="0.28515625" style="16" customWidth="1"/>
    <col min="196" max="16384" width="15.28515625" style="16"/>
  </cols>
  <sheetData>
    <row r="1" spans="1:196" s="17" customFormat="1" ht="22.5" customHeight="1" x14ac:dyDescent="0.2">
      <c r="A1" s="128"/>
      <c r="B1" s="128" t="s">
        <v>200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5" thickBot="1" x14ac:dyDescent="0.25"/>
    <row r="3" spans="1:196" s="36" customFormat="1" ht="34.5" customHeight="1" thickBot="1" x14ac:dyDescent="0.25">
      <c r="A3" s="281" t="s">
        <v>7</v>
      </c>
      <c r="B3" s="284" t="s">
        <v>58</v>
      </c>
      <c r="C3" s="287" t="s">
        <v>9</v>
      </c>
      <c r="D3" s="288"/>
      <c r="E3" s="288"/>
      <c r="F3" s="289"/>
      <c r="G3" s="255" t="s">
        <v>59</v>
      </c>
      <c r="H3" s="256"/>
      <c r="I3" s="256"/>
      <c r="J3" s="257"/>
      <c r="K3" s="263" t="s">
        <v>79</v>
      </c>
      <c r="L3" s="69" t="s">
        <v>51</v>
      </c>
      <c r="M3" s="260" t="s">
        <v>75</v>
      </c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  <c r="AU3" s="261"/>
      <c r="AV3" s="261"/>
      <c r="AW3" s="261"/>
      <c r="AX3" s="261"/>
      <c r="AY3" s="261"/>
      <c r="AZ3" s="261"/>
      <c r="BA3" s="261"/>
      <c r="BB3" s="261"/>
      <c r="BC3" s="261"/>
      <c r="BD3" s="261"/>
      <c r="BE3" s="261"/>
      <c r="BF3" s="261"/>
      <c r="BG3" s="261"/>
      <c r="BH3" s="261"/>
      <c r="BI3" s="261"/>
      <c r="BJ3" s="261"/>
      <c r="BK3" s="261"/>
      <c r="BL3" s="261"/>
      <c r="BM3" s="261"/>
      <c r="BN3" s="261"/>
      <c r="BO3" s="261"/>
      <c r="BP3" s="261"/>
      <c r="BQ3" s="261"/>
      <c r="BR3" s="261"/>
      <c r="BS3" s="262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70" t="s">
        <v>80</v>
      </c>
      <c r="GK3" s="278" t="s">
        <v>81</v>
      </c>
      <c r="GL3" s="273" t="s">
        <v>78</v>
      </c>
      <c r="GN3" s="252" t="s">
        <v>198</v>
      </c>
    </row>
    <row r="4" spans="1:196" s="26" customFormat="1" ht="29.25" customHeight="1" x14ac:dyDescent="0.2">
      <c r="A4" s="282"/>
      <c r="B4" s="285"/>
      <c r="C4" s="292" t="s">
        <v>10</v>
      </c>
      <c r="D4" s="293"/>
      <c r="E4" s="292" t="s">
        <v>11</v>
      </c>
      <c r="F4" s="293"/>
      <c r="G4" s="294" t="s">
        <v>195</v>
      </c>
      <c r="H4" s="276" t="s">
        <v>12</v>
      </c>
      <c r="I4" s="276" t="s">
        <v>64</v>
      </c>
      <c r="J4" s="258" t="s">
        <v>67</v>
      </c>
      <c r="K4" s="264"/>
      <c r="L4" s="296" t="s">
        <v>76</v>
      </c>
      <c r="M4" s="266" t="s">
        <v>13</v>
      </c>
      <c r="N4" s="267"/>
      <c r="O4" s="267"/>
      <c r="P4" s="267"/>
      <c r="Q4" s="268"/>
      <c r="R4" s="266" t="s">
        <v>14</v>
      </c>
      <c r="S4" s="267"/>
      <c r="T4" s="267"/>
      <c r="U4" s="267"/>
      <c r="V4" s="267"/>
      <c r="W4" s="268"/>
      <c r="X4" s="266" t="s">
        <v>15</v>
      </c>
      <c r="Y4" s="267"/>
      <c r="Z4" s="267"/>
      <c r="AA4" s="267"/>
      <c r="AB4" s="267"/>
      <c r="AC4" s="268"/>
      <c r="AD4" s="266" t="s">
        <v>16</v>
      </c>
      <c r="AE4" s="267"/>
      <c r="AF4" s="267"/>
      <c r="AG4" s="267"/>
      <c r="AH4" s="267"/>
      <c r="AI4" s="268"/>
      <c r="AJ4" s="266" t="s">
        <v>17</v>
      </c>
      <c r="AK4" s="267"/>
      <c r="AL4" s="267"/>
      <c r="AM4" s="267"/>
      <c r="AN4" s="267"/>
      <c r="AO4" s="268"/>
      <c r="AP4" s="266" t="s">
        <v>18</v>
      </c>
      <c r="AQ4" s="267"/>
      <c r="AR4" s="267"/>
      <c r="AS4" s="267"/>
      <c r="AT4" s="267"/>
      <c r="AU4" s="268"/>
      <c r="AV4" s="266" t="s">
        <v>19</v>
      </c>
      <c r="AW4" s="267"/>
      <c r="AX4" s="267"/>
      <c r="AY4" s="267"/>
      <c r="AZ4" s="267"/>
      <c r="BA4" s="268"/>
      <c r="BB4" s="266" t="s">
        <v>20</v>
      </c>
      <c r="BC4" s="267"/>
      <c r="BD4" s="267"/>
      <c r="BE4" s="267"/>
      <c r="BF4" s="267"/>
      <c r="BG4" s="268"/>
      <c r="BH4" s="266" t="s">
        <v>21</v>
      </c>
      <c r="BI4" s="267"/>
      <c r="BJ4" s="267"/>
      <c r="BK4" s="267"/>
      <c r="BL4" s="267"/>
      <c r="BM4" s="268"/>
      <c r="BN4" s="266" t="s">
        <v>22</v>
      </c>
      <c r="BO4" s="267"/>
      <c r="BP4" s="267"/>
      <c r="BQ4" s="267"/>
      <c r="BR4" s="267"/>
      <c r="BS4" s="269"/>
      <c r="BT4" s="266" t="s">
        <v>84</v>
      </c>
      <c r="BU4" s="267"/>
      <c r="BV4" s="267"/>
      <c r="BW4" s="267"/>
      <c r="BX4" s="267"/>
      <c r="BY4" s="269"/>
      <c r="BZ4" s="266" t="s">
        <v>87</v>
      </c>
      <c r="CA4" s="267"/>
      <c r="CB4" s="267"/>
      <c r="CC4" s="267"/>
      <c r="CD4" s="267"/>
      <c r="CE4" s="269"/>
      <c r="CF4" s="266" t="s">
        <v>88</v>
      </c>
      <c r="CG4" s="267"/>
      <c r="CH4" s="267"/>
      <c r="CI4" s="267"/>
      <c r="CJ4" s="267"/>
      <c r="CK4" s="269"/>
      <c r="CL4" s="266" t="s">
        <v>93</v>
      </c>
      <c r="CM4" s="267"/>
      <c r="CN4" s="267"/>
      <c r="CO4" s="267"/>
      <c r="CP4" s="267"/>
      <c r="CQ4" s="269"/>
      <c r="CR4" s="266" t="s">
        <v>96</v>
      </c>
      <c r="CS4" s="267"/>
      <c r="CT4" s="267"/>
      <c r="CU4" s="267"/>
      <c r="CV4" s="267"/>
      <c r="CW4" s="269"/>
      <c r="CX4" s="266" t="s">
        <v>99</v>
      </c>
      <c r="CY4" s="267"/>
      <c r="CZ4" s="267"/>
      <c r="DA4" s="267"/>
      <c r="DB4" s="267"/>
      <c r="DC4" s="269"/>
      <c r="DD4" s="266" t="s">
        <v>102</v>
      </c>
      <c r="DE4" s="267"/>
      <c r="DF4" s="267"/>
      <c r="DG4" s="267"/>
      <c r="DH4" s="267"/>
      <c r="DI4" s="269"/>
      <c r="DJ4" s="266" t="s">
        <v>105</v>
      </c>
      <c r="DK4" s="267"/>
      <c r="DL4" s="267"/>
      <c r="DM4" s="267"/>
      <c r="DN4" s="267"/>
      <c r="DO4" s="269"/>
      <c r="DP4" s="266" t="s">
        <v>108</v>
      </c>
      <c r="DQ4" s="267"/>
      <c r="DR4" s="267"/>
      <c r="DS4" s="267"/>
      <c r="DT4" s="267"/>
      <c r="DU4" s="269"/>
      <c r="DV4" s="266" t="s">
        <v>111</v>
      </c>
      <c r="DW4" s="267"/>
      <c r="DX4" s="267"/>
      <c r="DY4" s="267"/>
      <c r="DZ4" s="267"/>
      <c r="EA4" s="269"/>
      <c r="EB4" s="266" t="s">
        <v>133</v>
      </c>
      <c r="EC4" s="267"/>
      <c r="ED4" s="267"/>
      <c r="EE4" s="267"/>
      <c r="EF4" s="267"/>
      <c r="EG4" s="269"/>
      <c r="EH4" s="266" t="s">
        <v>137</v>
      </c>
      <c r="EI4" s="267"/>
      <c r="EJ4" s="267"/>
      <c r="EK4" s="267"/>
      <c r="EL4" s="267"/>
      <c r="EM4" s="269"/>
      <c r="EN4" s="266" t="s">
        <v>141</v>
      </c>
      <c r="EO4" s="267"/>
      <c r="EP4" s="267"/>
      <c r="EQ4" s="267"/>
      <c r="ER4" s="267"/>
      <c r="ES4" s="269"/>
      <c r="ET4" s="266" t="s">
        <v>145</v>
      </c>
      <c r="EU4" s="267"/>
      <c r="EV4" s="267"/>
      <c r="EW4" s="267"/>
      <c r="EX4" s="267"/>
      <c r="EY4" s="269"/>
      <c r="EZ4" s="266" t="s">
        <v>149</v>
      </c>
      <c r="FA4" s="267"/>
      <c r="FB4" s="267"/>
      <c r="FC4" s="267"/>
      <c r="FD4" s="267"/>
      <c r="FE4" s="269"/>
      <c r="FF4" s="266" t="s">
        <v>153</v>
      </c>
      <c r="FG4" s="267"/>
      <c r="FH4" s="267"/>
      <c r="FI4" s="267"/>
      <c r="FJ4" s="267"/>
      <c r="FK4" s="269"/>
      <c r="FL4" s="266" t="s">
        <v>157</v>
      </c>
      <c r="FM4" s="267"/>
      <c r="FN4" s="267"/>
      <c r="FO4" s="267"/>
      <c r="FP4" s="267"/>
      <c r="FQ4" s="269"/>
      <c r="FR4" s="266" t="s">
        <v>161</v>
      </c>
      <c r="FS4" s="267"/>
      <c r="FT4" s="267"/>
      <c r="FU4" s="267"/>
      <c r="FV4" s="267"/>
      <c r="FW4" s="269"/>
      <c r="FX4" s="266" t="s">
        <v>165</v>
      </c>
      <c r="FY4" s="267"/>
      <c r="FZ4" s="267"/>
      <c r="GA4" s="267"/>
      <c r="GB4" s="267"/>
      <c r="GC4" s="269"/>
      <c r="GD4" s="266" t="s">
        <v>168</v>
      </c>
      <c r="GE4" s="267"/>
      <c r="GF4" s="267"/>
      <c r="GG4" s="267"/>
      <c r="GH4" s="267"/>
      <c r="GI4" s="269"/>
      <c r="GJ4" s="271"/>
      <c r="GK4" s="279"/>
      <c r="GL4" s="274"/>
      <c r="GN4" s="253"/>
    </row>
    <row r="5" spans="1:196" s="26" customFormat="1" ht="246" customHeight="1" thickBot="1" x14ac:dyDescent="0.25">
      <c r="A5" s="282"/>
      <c r="B5" s="286"/>
      <c r="C5" s="290" t="s">
        <v>197</v>
      </c>
      <c r="D5" s="291"/>
      <c r="E5" s="290" t="s">
        <v>73</v>
      </c>
      <c r="F5" s="291"/>
      <c r="G5" s="295"/>
      <c r="H5" s="277"/>
      <c r="I5" s="277"/>
      <c r="J5" s="259"/>
      <c r="K5" s="265"/>
      <c r="L5" s="297"/>
      <c r="M5" s="66" t="s">
        <v>57</v>
      </c>
      <c r="N5" s="136" t="s">
        <v>123</v>
      </c>
      <c r="O5" s="67" t="s">
        <v>65</v>
      </c>
      <c r="P5" s="67" t="s">
        <v>77</v>
      </c>
      <c r="Q5" s="68" t="s">
        <v>23</v>
      </c>
      <c r="R5" s="66" t="s">
        <v>24</v>
      </c>
      <c r="S5" s="136" t="s">
        <v>124</v>
      </c>
      <c r="T5" s="67" t="s">
        <v>57</v>
      </c>
      <c r="U5" s="67" t="s">
        <v>65</v>
      </c>
      <c r="V5" s="67" t="s">
        <v>77</v>
      </c>
      <c r="W5" s="68" t="s">
        <v>25</v>
      </c>
      <c r="X5" s="66" t="s">
        <v>26</v>
      </c>
      <c r="Y5" s="136" t="s">
        <v>125</v>
      </c>
      <c r="Z5" s="67" t="s">
        <v>57</v>
      </c>
      <c r="AA5" s="67" t="s">
        <v>65</v>
      </c>
      <c r="AB5" s="67" t="s">
        <v>77</v>
      </c>
      <c r="AC5" s="68" t="s">
        <v>27</v>
      </c>
      <c r="AD5" s="66" t="s">
        <v>28</v>
      </c>
      <c r="AE5" s="136" t="s">
        <v>126</v>
      </c>
      <c r="AF5" s="67" t="s">
        <v>57</v>
      </c>
      <c r="AG5" s="67" t="s">
        <v>65</v>
      </c>
      <c r="AH5" s="67" t="s">
        <v>77</v>
      </c>
      <c r="AI5" s="68" t="s">
        <v>29</v>
      </c>
      <c r="AJ5" s="66" t="s">
        <v>30</v>
      </c>
      <c r="AK5" s="136" t="s">
        <v>127</v>
      </c>
      <c r="AL5" s="67" t="s">
        <v>57</v>
      </c>
      <c r="AM5" s="67" t="s">
        <v>65</v>
      </c>
      <c r="AN5" s="67" t="s">
        <v>77</v>
      </c>
      <c r="AO5" s="68" t="s">
        <v>31</v>
      </c>
      <c r="AP5" s="66" t="s">
        <v>32</v>
      </c>
      <c r="AQ5" s="136" t="s">
        <v>128</v>
      </c>
      <c r="AR5" s="67" t="s">
        <v>57</v>
      </c>
      <c r="AS5" s="67" t="s">
        <v>65</v>
      </c>
      <c r="AT5" s="67" t="s">
        <v>77</v>
      </c>
      <c r="AU5" s="68" t="s">
        <v>33</v>
      </c>
      <c r="AV5" s="66" t="s">
        <v>34</v>
      </c>
      <c r="AW5" s="136" t="s">
        <v>129</v>
      </c>
      <c r="AX5" s="67" t="s">
        <v>57</v>
      </c>
      <c r="AY5" s="67" t="s">
        <v>65</v>
      </c>
      <c r="AZ5" s="67" t="s">
        <v>77</v>
      </c>
      <c r="BA5" s="68" t="s">
        <v>35</v>
      </c>
      <c r="BB5" s="66" t="s">
        <v>36</v>
      </c>
      <c r="BC5" s="136" t="s">
        <v>130</v>
      </c>
      <c r="BD5" s="67" t="s">
        <v>57</v>
      </c>
      <c r="BE5" s="67" t="s">
        <v>65</v>
      </c>
      <c r="BF5" s="67" t="s">
        <v>77</v>
      </c>
      <c r="BG5" s="68" t="s">
        <v>37</v>
      </c>
      <c r="BH5" s="66" t="s">
        <v>38</v>
      </c>
      <c r="BI5" s="136" t="s">
        <v>131</v>
      </c>
      <c r="BJ5" s="67" t="s">
        <v>57</v>
      </c>
      <c r="BK5" s="67" t="s">
        <v>65</v>
      </c>
      <c r="BL5" s="67" t="s">
        <v>77</v>
      </c>
      <c r="BM5" s="68" t="s">
        <v>39</v>
      </c>
      <c r="BN5" s="66" t="s">
        <v>40</v>
      </c>
      <c r="BO5" s="136" t="s">
        <v>132</v>
      </c>
      <c r="BP5" s="67" t="s">
        <v>57</v>
      </c>
      <c r="BQ5" s="67" t="s">
        <v>65</v>
      </c>
      <c r="BR5" s="67" t="s">
        <v>77</v>
      </c>
      <c r="BS5" s="82" t="s">
        <v>41</v>
      </c>
      <c r="BT5" s="66" t="s">
        <v>85</v>
      </c>
      <c r="BU5" s="136" t="s">
        <v>114</v>
      </c>
      <c r="BV5" s="134" t="s">
        <v>57</v>
      </c>
      <c r="BW5" s="134" t="s">
        <v>65</v>
      </c>
      <c r="BX5" s="134" t="s">
        <v>77</v>
      </c>
      <c r="BY5" s="135" t="s">
        <v>86</v>
      </c>
      <c r="BZ5" s="66" t="s">
        <v>89</v>
      </c>
      <c r="CA5" s="136" t="s">
        <v>115</v>
      </c>
      <c r="CB5" s="134" t="s">
        <v>57</v>
      </c>
      <c r="CC5" s="134" t="s">
        <v>65</v>
      </c>
      <c r="CD5" s="134" t="s">
        <v>77</v>
      </c>
      <c r="CE5" s="135" t="s">
        <v>90</v>
      </c>
      <c r="CF5" s="66" t="s">
        <v>91</v>
      </c>
      <c r="CG5" s="136" t="s">
        <v>116</v>
      </c>
      <c r="CH5" s="134" t="s">
        <v>57</v>
      </c>
      <c r="CI5" s="134" t="s">
        <v>65</v>
      </c>
      <c r="CJ5" s="134" t="s">
        <v>77</v>
      </c>
      <c r="CK5" s="135" t="s">
        <v>92</v>
      </c>
      <c r="CL5" s="66" t="s">
        <v>94</v>
      </c>
      <c r="CM5" s="136" t="s">
        <v>117</v>
      </c>
      <c r="CN5" s="134" t="s">
        <v>57</v>
      </c>
      <c r="CO5" s="134" t="s">
        <v>65</v>
      </c>
      <c r="CP5" s="134" t="s">
        <v>77</v>
      </c>
      <c r="CQ5" s="135" t="s">
        <v>95</v>
      </c>
      <c r="CR5" s="66" t="s">
        <v>97</v>
      </c>
      <c r="CS5" s="136" t="s">
        <v>118</v>
      </c>
      <c r="CT5" s="134" t="s">
        <v>57</v>
      </c>
      <c r="CU5" s="134" t="s">
        <v>65</v>
      </c>
      <c r="CV5" s="134" t="s">
        <v>77</v>
      </c>
      <c r="CW5" s="135" t="s">
        <v>98</v>
      </c>
      <c r="CX5" s="66" t="s">
        <v>100</v>
      </c>
      <c r="CY5" s="136" t="s">
        <v>119</v>
      </c>
      <c r="CZ5" s="134" t="s">
        <v>57</v>
      </c>
      <c r="DA5" s="134" t="s">
        <v>65</v>
      </c>
      <c r="DB5" s="134" t="s">
        <v>77</v>
      </c>
      <c r="DC5" s="135" t="s">
        <v>101</v>
      </c>
      <c r="DD5" s="66" t="s">
        <v>103</v>
      </c>
      <c r="DE5" s="136" t="s">
        <v>120</v>
      </c>
      <c r="DF5" s="134" t="s">
        <v>57</v>
      </c>
      <c r="DG5" s="134" t="s">
        <v>65</v>
      </c>
      <c r="DH5" s="134" t="s">
        <v>77</v>
      </c>
      <c r="DI5" s="135" t="s">
        <v>104</v>
      </c>
      <c r="DJ5" s="66" t="s">
        <v>106</v>
      </c>
      <c r="DK5" s="134" t="s">
        <v>66</v>
      </c>
      <c r="DL5" s="134" t="s">
        <v>57</v>
      </c>
      <c r="DM5" s="134" t="s">
        <v>65</v>
      </c>
      <c r="DN5" s="134" t="s">
        <v>77</v>
      </c>
      <c r="DO5" s="135" t="s">
        <v>107</v>
      </c>
      <c r="DP5" s="66" t="s">
        <v>109</v>
      </c>
      <c r="DQ5" s="136" t="s">
        <v>121</v>
      </c>
      <c r="DR5" s="134" t="s">
        <v>57</v>
      </c>
      <c r="DS5" s="134" t="s">
        <v>65</v>
      </c>
      <c r="DT5" s="134" t="s">
        <v>77</v>
      </c>
      <c r="DU5" s="135" t="s">
        <v>110</v>
      </c>
      <c r="DV5" s="66" t="s">
        <v>113</v>
      </c>
      <c r="DW5" s="136" t="s">
        <v>122</v>
      </c>
      <c r="DX5" s="134" t="s">
        <v>57</v>
      </c>
      <c r="DY5" s="134" t="s">
        <v>65</v>
      </c>
      <c r="DZ5" s="134" t="s">
        <v>77</v>
      </c>
      <c r="EA5" s="135" t="s">
        <v>112</v>
      </c>
      <c r="EB5" s="66" t="s">
        <v>134</v>
      </c>
      <c r="EC5" s="137" t="s">
        <v>135</v>
      </c>
      <c r="ED5" s="137" t="s">
        <v>57</v>
      </c>
      <c r="EE5" s="137" t="s">
        <v>65</v>
      </c>
      <c r="EF5" s="137" t="s">
        <v>77</v>
      </c>
      <c r="EG5" s="138" t="s">
        <v>136</v>
      </c>
      <c r="EH5" s="66" t="s">
        <v>138</v>
      </c>
      <c r="EI5" s="137" t="s">
        <v>139</v>
      </c>
      <c r="EJ5" s="137" t="s">
        <v>57</v>
      </c>
      <c r="EK5" s="137" t="s">
        <v>65</v>
      </c>
      <c r="EL5" s="137" t="s">
        <v>77</v>
      </c>
      <c r="EM5" s="138" t="s">
        <v>140</v>
      </c>
      <c r="EN5" s="66" t="s">
        <v>142</v>
      </c>
      <c r="EO5" s="137" t="s">
        <v>143</v>
      </c>
      <c r="EP5" s="137" t="s">
        <v>57</v>
      </c>
      <c r="EQ5" s="137" t="s">
        <v>65</v>
      </c>
      <c r="ER5" s="137" t="s">
        <v>77</v>
      </c>
      <c r="ES5" s="138" t="s">
        <v>144</v>
      </c>
      <c r="ET5" s="66" t="s">
        <v>146</v>
      </c>
      <c r="EU5" s="137" t="s">
        <v>147</v>
      </c>
      <c r="EV5" s="137" t="s">
        <v>57</v>
      </c>
      <c r="EW5" s="137" t="s">
        <v>65</v>
      </c>
      <c r="EX5" s="137" t="s">
        <v>77</v>
      </c>
      <c r="EY5" s="138" t="s">
        <v>148</v>
      </c>
      <c r="EZ5" s="66" t="s">
        <v>150</v>
      </c>
      <c r="FA5" s="137" t="s">
        <v>151</v>
      </c>
      <c r="FB5" s="137" t="s">
        <v>57</v>
      </c>
      <c r="FC5" s="137" t="s">
        <v>65</v>
      </c>
      <c r="FD5" s="137" t="s">
        <v>77</v>
      </c>
      <c r="FE5" s="138" t="s">
        <v>152</v>
      </c>
      <c r="FF5" s="66" t="s">
        <v>154</v>
      </c>
      <c r="FG5" s="137" t="s">
        <v>155</v>
      </c>
      <c r="FH5" s="137" t="s">
        <v>57</v>
      </c>
      <c r="FI5" s="137" t="s">
        <v>65</v>
      </c>
      <c r="FJ5" s="137" t="s">
        <v>77</v>
      </c>
      <c r="FK5" s="138" t="s">
        <v>156</v>
      </c>
      <c r="FL5" s="66" t="s">
        <v>158</v>
      </c>
      <c r="FM5" s="137" t="s">
        <v>159</v>
      </c>
      <c r="FN5" s="137" t="s">
        <v>57</v>
      </c>
      <c r="FO5" s="137" t="s">
        <v>65</v>
      </c>
      <c r="FP5" s="137" t="s">
        <v>77</v>
      </c>
      <c r="FQ5" s="138" t="s">
        <v>160</v>
      </c>
      <c r="FR5" s="66" t="s">
        <v>162</v>
      </c>
      <c r="FS5" s="137" t="s">
        <v>163</v>
      </c>
      <c r="FT5" s="137" t="s">
        <v>57</v>
      </c>
      <c r="FU5" s="137" t="s">
        <v>65</v>
      </c>
      <c r="FV5" s="137" t="s">
        <v>77</v>
      </c>
      <c r="FW5" s="138" t="s">
        <v>164</v>
      </c>
      <c r="FX5" s="66" t="s">
        <v>166</v>
      </c>
      <c r="FY5" s="137" t="s">
        <v>170</v>
      </c>
      <c r="FZ5" s="137" t="s">
        <v>57</v>
      </c>
      <c r="GA5" s="137" t="s">
        <v>65</v>
      </c>
      <c r="GB5" s="137" t="s">
        <v>77</v>
      </c>
      <c r="GC5" s="138" t="s">
        <v>167</v>
      </c>
      <c r="GD5" s="66" t="s">
        <v>169</v>
      </c>
      <c r="GE5" s="137" t="s">
        <v>171</v>
      </c>
      <c r="GF5" s="137" t="s">
        <v>57</v>
      </c>
      <c r="GG5" s="137" t="s">
        <v>65</v>
      </c>
      <c r="GH5" s="137" t="s">
        <v>77</v>
      </c>
      <c r="GI5" s="138" t="s">
        <v>172</v>
      </c>
      <c r="GJ5" s="272"/>
      <c r="GK5" s="280"/>
      <c r="GL5" s="275"/>
      <c r="GN5" s="254"/>
    </row>
    <row r="6" spans="1:196" s="26" customFormat="1" ht="19.5" thickBot="1" x14ac:dyDescent="0.25">
      <c r="A6" s="283"/>
      <c r="B6" s="10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6" t="s">
        <v>69</v>
      </c>
      <c r="K6" s="12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6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6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6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6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6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6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6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6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6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6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6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6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6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6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6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6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6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6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6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6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6" t="s">
        <v>52</v>
      </c>
      <c r="GJ6" s="171" t="s">
        <v>52</v>
      </c>
      <c r="GK6" s="169" t="s">
        <v>60</v>
      </c>
      <c r="GL6" s="83" t="s">
        <v>74</v>
      </c>
      <c r="GN6" s="211"/>
    </row>
    <row r="7" spans="1:196" s="27" customFormat="1" thickBot="1" x14ac:dyDescent="0.25">
      <c r="A7" s="106">
        <v>1</v>
      </c>
      <c r="B7" s="11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5">
        <f>F7+1</f>
        <v>7</v>
      </c>
      <c r="H7" s="61">
        <f t="shared" si="0"/>
        <v>8</v>
      </c>
      <c r="I7" s="61">
        <f t="shared" ref="I7:L7" si="1">H7+1</f>
        <v>9</v>
      </c>
      <c r="J7" s="117">
        <f>I7+1</f>
        <v>10</v>
      </c>
      <c r="K7" s="122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17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17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17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17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17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17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17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17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17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17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17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17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17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17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17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17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17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17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17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17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17">
        <f t="shared" ref="GI7" si="103">GH7+1</f>
        <v>191</v>
      </c>
      <c r="GJ7" s="62">
        <f>GI7+1</f>
        <v>192</v>
      </c>
      <c r="GK7" s="170">
        <f>GJ7+1</f>
        <v>193</v>
      </c>
      <c r="GL7" s="84">
        <f>GK7+1</f>
        <v>194</v>
      </c>
      <c r="GN7" s="212"/>
    </row>
    <row r="8" spans="1:196" s="28" customFormat="1" thickBot="1" x14ac:dyDescent="0.25">
      <c r="A8" s="107" t="s">
        <v>3</v>
      </c>
      <c r="B8" s="11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8" t="s">
        <v>68</v>
      </c>
      <c r="K8" s="12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6" t="s">
        <v>4</v>
      </c>
      <c r="EA8" s="11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6" t="s">
        <v>4</v>
      </c>
      <c r="EG8" s="11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6" t="s">
        <v>4</v>
      </c>
      <c r="EM8" s="11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6" t="s">
        <v>4</v>
      </c>
      <c r="EY8" s="11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6" t="s">
        <v>4</v>
      </c>
      <c r="FE8" s="11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6" t="s">
        <v>4</v>
      </c>
      <c r="FK8" s="11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6" t="s">
        <v>4</v>
      </c>
      <c r="FQ8" s="11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6" t="s">
        <v>4</v>
      </c>
      <c r="FW8" s="11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6" t="s">
        <v>4</v>
      </c>
      <c r="GC8" s="11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6" t="s">
        <v>4</v>
      </c>
      <c r="GI8" s="118" t="s">
        <v>4</v>
      </c>
      <c r="GJ8" s="173" t="s">
        <v>4</v>
      </c>
      <c r="GK8" s="172" t="s">
        <v>4</v>
      </c>
      <c r="GL8" s="85" t="s">
        <v>50</v>
      </c>
      <c r="GN8" s="213" t="s">
        <v>199</v>
      </c>
    </row>
    <row r="9" spans="1:196" s="25" customFormat="1" ht="30" x14ac:dyDescent="0.25">
      <c r="A9" s="183" t="s">
        <v>173</v>
      </c>
      <c r="B9" s="154" t="s">
        <v>8</v>
      </c>
      <c r="C9" s="154" t="s">
        <v>8</v>
      </c>
      <c r="D9" s="154" t="s">
        <v>8</v>
      </c>
      <c r="E9" s="154" t="s">
        <v>8</v>
      </c>
      <c r="F9" s="154" t="s">
        <v>8</v>
      </c>
      <c r="G9" s="112">
        <f>'Исходные данные 25 г.'!C11</f>
        <v>862</v>
      </c>
      <c r="H9" s="49">
        <f>'Исходные данные 25 г.'!D11</f>
        <v>251690</v>
      </c>
      <c r="I9" s="50">
        <f>'Расчет КРП'!H7</f>
        <v>5.3130482164321498</v>
      </c>
      <c r="J9" s="119" t="s">
        <v>8</v>
      </c>
      <c r="K9" s="157">
        <f t="shared" ref="K9:K21" si="104">((H9/G9)/($H$22/$G$22))/I9</f>
        <v>9.1016306072460307E-2</v>
      </c>
      <c r="L9" s="158">
        <f t="shared" ref="L9:L21" si="105">$D$22*G9/$G$22</f>
        <v>1047784.1375974664</v>
      </c>
      <c r="M9" s="162">
        <f t="shared" ref="M9:M21" si="106">(((H9+L9)/G9)/$J$22)/I9</f>
        <v>0.46991670642781758</v>
      </c>
      <c r="N9" s="163" t="s">
        <v>8</v>
      </c>
      <c r="O9" s="164">
        <f t="shared" ref="O9:O21" si="107">$N$22-M9</f>
        <v>3.8411185483395172E-2</v>
      </c>
      <c r="P9" s="177">
        <f>IF(O9&gt;0,G9*I9*(($H$22+$L$22)/$G$22)*O9,0)</f>
        <v>320051.84249029803</v>
      </c>
      <c r="Q9" s="165">
        <f t="shared" ref="Q9:Q21" si="108">IF(($F$22-P$22)&gt;0,P9,$F$22*P9/P$22)</f>
        <v>320051.84249029803</v>
      </c>
      <c r="R9" s="159" t="s">
        <v>8</v>
      </c>
      <c r="S9" s="48" t="s">
        <v>8</v>
      </c>
      <c r="T9" s="52">
        <f t="shared" ref="T9:T21" si="109">(((H9+L9+Q9)/G9)/$J$22)/I9</f>
        <v>0.58565406768631734</v>
      </c>
      <c r="U9" s="51">
        <f t="shared" ref="U9:U21" si="110">S$22-T9</f>
        <v>0.14181475405571864</v>
      </c>
      <c r="V9" s="53">
        <f t="shared" ref="V9:V21" si="111">IF(U9&gt;0,$G9*$I9*(($H$22+$L$22+$Q$22)/$G$22)*U9,0)</f>
        <v>1423532.6094079413</v>
      </c>
      <c r="W9" s="79">
        <f t="shared" ref="W9:W21" si="112">IF((R$22-V$22)&gt;0,V9,R$22*V9/V$22)</f>
        <v>1423532.6094079413</v>
      </c>
      <c r="X9" s="75" t="s">
        <v>8</v>
      </c>
      <c r="Y9" s="48" t="s">
        <v>8</v>
      </c>
      <c r="Z9" s="52">
        <f t="shared" ref="Z9:Z21" si="113">(((H9+L9+Q9+W9)/G9)/$J$22)/I9</f>
        <v>1.1004328816320492</v>
      </c>
      <c r="AA9" s="51">
        <f t="shared" ref="AA9:AA21" si="114">Y$22-Z9</f>
        <v>-0.25692752747497427</v>
      </c>
      <c r="AB9" s="53">
        <f t="shared" ref="AB9:AB21" si="115">IF(AA9&gt;0,$G9*$I9*(($H$22+$L$22+$Q$22+$W$22)/$G$22)*AA9,0)</f>
        <v>0</v>
      </c>
      <c r="AC9" s="79">
        <f t="shared" ref="AC9:AC21" si="116">IF((X$22-AB$22)&gt;0,AB9,X$22*AB9/AB$22)</f>
        <v>0</v>
      </c>
      <c r="AD9" s="75" t="s">
        <v>8</v>
      </c>
      <c r="AE9" s="48" t="s">
        <v>8</v>
      </c>
      <c r="AF9" s="52">
        <f t="shared" ref="AF9:AF21" si="117">(((H9+L9+Q9+W9+AC9)/G9)/$J$22)/I9</f>
        <v>1.1004328816320492</v>
      </c>
      <c r="AG9" s="51">
        <f t="shared" ref="AG9:AG21" si="118">AE$22-AF9</f>
        <v>-0.16016659643895848</v>
      </c>
      <c r="AH9" s="53">
        <f t="shared" ref="AH9:AH21" si="119">IF(AG9&gt;0,$G9*$I9*(($H$22+$L$22+$Q$22+$W$22+$AC$22)/$G$22)*AG9,0)</f>
        <v>0</v>
      </c>
      <c r="AI9" s="79">
        <f t="shared" ref="AI9:AI21" si="120">IF((AD$22-AH$22)&gt;0,AH9,AD$22*AH9/AH$22)</f>
        <v>0</v>
      </c>
      <c r="AJ9" s="75" t="s">
        <v>8</v>
      </c>
      <c r="AK9" s="48" t="s">
        <v>8</v>
      </c>
      <c r="AL9" s="52">
        <f t="shared" ref="AL9:AL21" si="121">(((H9+L9+Q9+W9+AC9+AI9)/G9)/$J$22)/I9</f>
        <v>1.1004328816320492</v>
      </c>
      <c r="AM9" s="51">
        <f t="shared" ref="AM9:AM21" si="122">AK$22-AL9</f>
        <v>-0.12633531324847924</v>
      </c>
      <c r="AN9" s="53">
        <f t="shared" ref="AN9:AN21" si="123">IF(AM9&gt;0,$G9*$I9*(($H$22+$L$22+$Q$22+$W$22+$AC$22+$AI$22)/$G$22)*AM9,0)</f>
        <v>0</v>
      </c>
      <c r="AO9" s="79">
        <f t="shared" ref="AO9:AO21" si="124">IF((AJ$22-AN$22)&gt;0,AN9,AJ$22*AN9/AN$22)</f>
        <v>0</v>
      </c>
      <c r="AP9" s="75" t="s">
        <v>8</v>
      </c>
      <c r="AQ9" s="48" t="s">
        <v>8</v>
      </c>
      <c r="AR9" s="52">
        <f t="shared" ref="AR9:AR21" si="125">(((H9+L9+Q9+W9+AC9+AI9+AO9)/G9)/$J$22)/I9</f>
        <v>1.1004328816320492</v>
      </c>
      <c r="AS9" s="51">
        <f t="shared" ref="AS9:AS21" si="126">AQ$22-AR9</f>
        <v>-0.12633531324847924</v>
      </c>
      <c r="AT9" s="53">
        <f t="shared" ref="AT9:AT21" si="127">IF(AS9&gt;0,$G9*$I9*(($H$22+$L$22+$Q$22+$W$22+$AC$22+$AI$22+$AO$22)/$G$22)*AS9,0)</f>
        <v>0</v>
      </c>
      <c r="AU9" s="79">
        <f t="shared" ref="AU9:AU21" si="128">IF((AP$22-AT$22)&gt;0,AT9,AP$22*AT9/AT$22)</f>
        <v>0</v>
      </c>
      <c r="AV9" s="75" t="s">
        <v>8</v>
      </c>
      <c r="AW9" s="48" t="s">
        <v>8</v>
      </c>
      <c r="AX9" s="52">
        <f t="shared" ref="AX9:AX21" si="129">(((H9+L9+Q9+W9+AC9+AI9+AO9+AU9)/G9)/$J$22)/I9</f>
        <v>1.1004328816320492</v>
      </c>
      <c r="AY9" s="51">
        <f t="shared" ref="AY9:AY21" si="130">AW$22-AX9</f>
        <v>-0.12633531324847924</v>
      </c>
      <c r="AZ9" s="53">
        <f t="shared" ref="AZ9:AZ21" si="131">IF(AY9&gt;0,$G9*$I9*(($H$22+$L$22+$Q$22+$W$22+$AC$22+$AI$22+$AO$22+$AU$22)/$G$22)*AY9,0)</f>
        <v>0</v>
      </c>
      <c r="BA9" s="79">
        <f t="shared" ref="BA9:BA21" si="132">IF((AV$22-AZ$22)&gt;0,AZ9,AV$22*AZ9/AZ$22)</f>
        <v>0</v>
      </c>
      <c r="BB9" s="75" t="s">
        <v>8</v>
      </c>
      <c r="BC9" s="48" t="s">
        <v>8</v>
      </c>
      <c r="BD9" s="52">
        <f t="shared" ref="BD9:BD21" si="133">(((H9+L9+Q9+W9+AC9+AI9+AO9+AU9+BA9)/G9)/$J$22)/I9</f>
        <v>1.1004328816320492</v>
      </c>
      <c r="BE9" s="51">
        <f t="shared" ref="BE9:BE21" si="134">BC$22-BD9</f>
        <v>-0.12633531324847924</v>
      </c>
      <c r="BF9" s="53">
        <f t="shared" ref="BF9:BF21" si="135">IF(BE9&gt;0,$G9*$I9*(($H$22+$L$22+$Q$22+$W$22+$AC$22+$AI$22+$AO$22+$AU$22+$BA$22)/$G$22)*BE9,0)</f>
        <v>0</v>
      </c>
      <c r="BG9" s="79">
        <f t="shared" ref="BG9:BG21" si="136">IF((BB$22-BF$22)&gt;0,BF9,BB$22*BF9/BF$22)</f>
        <v>0</v>
      </c>
      <c r="BH9" s="75" t="s">
        <v>8</v>
      </c>
      <c r="BI9" s="48" t="s">
        <v>8</v>
      </c>
      <c r="BJ9" s="52">
        <f t="shared" ref="BJ9:BJ21" si="137">(((H9+L9+Q9+W9+AC9+AI9+AO9+AU9+BA9+BG9)/G9)/$J$22)/I9</f>
        <v>1.1004328816320492</v>
      </c>
      <c r="BK9" s="51">
        <f t="shared" ref="BK9:BK21" si="138">BI$22-BJ9</f>
        <v>-0.12633531324847924</v>
      </c>
      <c r="BL9" s="53">
        <f t="shared" ref="BL9:BL21" si="139">IF(BK9&gt;0,$G9*$I9*(($H$22+$L$22+$Q$22+$W$22+$AC$22+$AI$22+$AO$22+$AU$22+$BA$22+$BG$22)/$G$22)*BK9,0)</f>
        <v>0</v>
      </c>
      <c r="BM9" s="79">
        <f t="shared" ref="BM9:BM21" si="140">IF((BH$22-BL$22)&gt;0,BL9,BH$22*BL9/BL$22)</f>
        <v>0</v>
      </c>
      <c r="BN9" s="75" t="s">
        <v>8</v>
      </c>
      <c r="BO9" s="48" t="s">
        <v>8</v>
      </c>
      <c r="BP9" s="52">
        <f t="shared" ref="BP9:BP21" si="141">(((H9+L9+Q9+W9+AC9+AI9+AO9+AU9+BA9+BG9+BM9)/G9)/$J$22)/I9</f>
        <v>1.1004328816320492</v>
      </c>
      <c r="BQ9" s="51">
        <f t="shared" ref="BQ9:BQ21" si="142">BO$22-BP9</f>
        <v>-0.12633531324847924</v>
      </c>
      <c r="BR9" s="53">
        <f t="shared" ref="BR9:BR21" si="143">IF(BQ9&gt;0,$G9*$I9*(($H$22+$L$22+$Q$22+$W$22+$AC$22+$AI$22+$AO$22+$AU$22+$BA$22+$BG$22+$BM$22)/$G$22)*BQ9,0)</f>
        <v>0</v>
      </c>
      <c r="BS9" s="131">
        <f t="shared" ref="BS9:BS21" si="144">IF((BN$22-BR$22)&gt;0,BR9,BN$22*BR9/BR$22)</f>
        <v>0</v>
      </c>
      <c r="BT9" s="75" t="s">
        <v>8</v>
      </c>
      <c r="BU9" s="48" t="s">
        <v>8</v>
      </c>
      <c r="BV9" s="52">
        <f t="shared" ref="BV9:BV21" si="145">(((H9+L9+Q9+W9+AC9+AI9+AO9+AU9+BA9+BG9+BM9+BS9)/G9)/$J$22)/I9</f>
        <v>1.1004328816320492</v>
      </c>
      <c r="BW9" s="51">
        <f t="shared" ref="BW9:BW21" si="146">BU$22-BV9</f>
        <v>-0.12633531324847924</v>
      </c>
      <c r="BX9" s="53">
        <f t="shared" ref="BX9:BX21" si="147">IF(BW9&gt;0,$G9*$I9*(($H$22+$L$22+$Q$22+$W$22+$AC$22+$AI$22+$AO$22+$AU$22+$BA$22+$BG$22+$BM$22+$BS$22)/$G$22)*BW9,0)</f>
        <v>0</v>
      </c>
      <c r="BY9" s="131">
        <f t="shared" ref="BY9:BY21" si="148">IF((BT$22-BX$22)&gt;0,BX9,BT$22*BX9/BX$22)</f>
        <v>0</v>
      </c>
      <c r="BZ9" s="75" t="s">
        <v>8</v>
      </c>
      <c r="CA9" s="48" t="s">
        <v>8</v>
      </c>
      <c r="CB9" s="52">
        <f t="shared" ref="CB9:CB21" si="149">(((H9+L9+Q9+W9+AC9+AI9+AO9+AU9+BA9+BG9+BM9+BS9+BY9)/G9)/$J$22)/I9</f>
        <v>1.1004328816320492</v>
      </c>
      <c r="CC9" s="51">
        <f t="shared" ref="CC9:CC21" si="150">CA$22-CB9</f>
        <v>-0.12633531324847924</v>
      </c>
      <c r="CD9" s="53">
        <f t="shared" ref="CD9:CD21" si="151">IF(CC9&gt;0,$G9*$I9*(($H$22+$L$22+$Q$22+$W$22+$AC$22+$AI$22+$AO$22+$AU$22+$BA$22+$BG$22+$BM$22+$BS$22+$BY$22)/$G$22)*CC9,0)</f>
        <v>0</v>
      </c>
      <c r="CE9" s="131">
        <f t="shared" ref="CE9:CE21" si="152">IF((BZ$22-CD$22)&gt;0,CD9,BZ$22*CD9/CD$22)</f>
        <v>0</v>
      </c>
      <c r="CF9" s="75" t="s">
        <v>8</v>
      </c>
      <c r="CG9" s="48" t="s">
        <v>8</v>
      </c>
      <c r="CH9" s="52">
        <f t="shared" ref="CH9:CH21" si="153">(((H9+L9+Q9+W9+AC9+AI9+AO9+AU9+BA9+BG9+BM9+BS9+BY9+CE9)/G9)/$J$22)/I9</f>
        <v>1.1004328816320492</v>
      </c>
      <c r="CI9" s="51">
        <f t="shared" ref="CI9:CI21" si="154">CG$22-CH9</f>
        <v>-0.12633531324847924</v>
      </c>
      <c r="CJ9" s="53">
        <f t="shared" ref="CJ9:CJ21" si="155">IF(CI9&gt;0,$G9*$I9*(($H$22+$L$22+$Q$22+$W$22+$AC$22+$AI$22+$AO$22+$AU$22+$BA$22+$BG$22+$BM$22+$BS$22+$BY$22+$CE$22)/$G$22)*CI9,0)</f>
        <v>0</v>
      </c>
      <c r="CK9" s="131">
        <f t="shared" ref="CK9:CK21" si="156">IF((CF$22-CJ$22)&gt;0,CJ9,CF$22*CJ9/CJ$22)</f>
        <v>0</v>
      </c>
      <c r="CL9" s="75" t="s">
        <v>8</v>
      </c>
      <c r="CM9" s="48" t="s">
        <v>8</v>
      </c>
      <c r="CN9" s="52">
        <f t="shared" ref="CN9:CN21" si="157">(((H9+L9+Q9+W9+AC9+AI9+AO9+AU9+BA9+BG9+BM9+BS9+BY9+CE9+CK9)/G9)/$J$22)/I9</f>
        <v>1.1004328816320492</v>
      </c>
      <c r="CO9" s="51">
        <f t="shared" ref="CO9:CO21" si="158">CM$22-CN9</f>
        <v>-0.12633531324847924</v>
      </c>
      <c r="CP9" s="53">
        <f t="shared" ref="CP9:CP21" si="159">IF(CO9&gt;0,$G9*$I9*(($H$22+$L$22+$Q$22+$W$22+$AC$22+$AI$22+$AO$22+$AU$22+$BA$22+$BG$22+$BM$22+$BS$22+$BY$22+$CE$22+$CK$22)/$G$22)*CO9,0)</f>
        <v>0</v>
      </c>
      <c r="CQ9" s="131">
        <f t="shared" ref="CQ9:CQ21" si="160">IF((CL$22-CP$22)&gt;0,CP9,CL$22*CP9/CP$22)</f>
        <v>0</v>
      </c>
      <c r="CR9" s="75" t="s">
        <v>8</v>
      </c>
      <c r="CS9" s="48" t="s">
        <v>8</v>
      </c>
      <c r="CT9" s="52">
        <f t="shared" ref="CT9:CT21" si="161">(((H9+L9+Q9+W9+AC9+AI9+AO9+AU9+BA9+BG9+BM9+BS9+BY9+CE9+CK9+CQ9)/G9)/$J$22)/I9</f>
        <v>1.1004328816320492</v>
      </c>
      <c r="CU9" s="51">
        <f t="shared" ref="CU9:CU21" si="162">CS$22-CT9</f>
        <v>-0.12633531324847924</v>
      </c>
      <c r="CV9" s="53">
        <f t="shared" ref="CV9:CV21" si="163">IF(CU9&gt;0,$G9*$I9*(($H$22+$L$22+$Q$22+$W$22+$AC$22+$AI$22+$AO$22+$AU$22+$BA$22+$BG$22+$BM$22+$BS$22+$BY$22+$CE$22+$CK$22+$CQ$22)/$G$22)*CU9,0)</f>
        <v>0</v>
      </c>
      <c r="CW9" s="131">
        <f t="shared" ref="CW9:CW21" si="164">IF((CR$22-CV$22)&gt;0,CV9,CR$22*CV9/CV$22)</f>
        <v>0</v>
      </c>
      <c r="CX9" s="75" t="s">
        <v>8</v>
      </c>
      <c r="CY9" s="48" t="s">
        <v>8</v>
      </c>
      <c r="CZ9" s="52">
        <f t="shared" ref="CZ9:CZ21" si="165">(((H9+L9+Q9+W9+AC9+AI9+AO9+AU9+BA9+BG9+BM9+BS9+BY9+CE9+CK9+CQ9+CW9)/G9)/$J$22)/I9</f>
        <v>1.1004328816320492</v>
      </c>
      <c r="DA9" s="51">
        <f t="shared" ref="DA9:DA21" si="166">CY$22-CZ9</f>
        <v>-0.12633531324847924</v>
      </c>
      <c r="DB9" s="53">
        <f t="shared" ref="DB9:DB21" si="167">IF(DA9&gt;0,$G9*$I9*(($H$22+$L$22+$Q$22+$W$22+$AC$22+$AI$22+$AO$22+$AU$22+$BA$22+$BG$22+$BM$22+$BS$22+$BY$22+$CE$22+$CK$22+$CQ$22+$CW$22)/$G$22)*DA9,0)</f>
        <v>0</v>
      </c>
      <c r="DC9" s="131">
        <f t="shared" ref="DC9:DC21" si="168">IF((CX$22-DB$22)&gt;0,DB9,CX$22*DB9/DB$22)</f>
        <v>0</v>
      </c>
      <c r="DD9" s="75" t="s">
        <v>8</v>
      </c>
      <c r="DE9" s="48" t="s">
        <v>8</v>
      </c>
      <c r="DF9" s="52">
        <f t="shared" ref="DF9:DF21" si="169">(((H9+L9+Q9+W9+AC9+AI9+AO9+AU9+BA9+BG9+BM9+BS9+BY9+CE9+CK9+CQ9+CW9+DC9)/G9)/$J$22)/I9</f>
        <v>1.1004328816320492</v>
      </c>
      <c r="DG9" s="51">
        <f t="shared" ref="DG9:DG21" si="170">DE$22-DF9</f>
        <v>-0.12633531324847924</v>
      </c>
      <c r="DH9" s="53">
        <f t="shared" ref="DH9:DH21" si="171">IF(DG9&gt;0,$G9*$I9*(($H$22+$L$22+$Q$22+$W$22+$AC$22+$AI$22+$AO$22+$AU$22+$BA$22+$BG$22+$BM$22+$BS$22+$BY$22+$CE$22+$CK$22+$CQ$22+$CW$22+$DC$22)/$G$22)*DG9,0)</f>
        <v>0</v>
      </c>
      <c r="DI9" s="131">
        <f t="shared" ref="DI9:DI21" si="172">IF((DD$22-DH$22)&gt;0,DH9,DD$22*DH9/DH$22)</f>
        <v>0</v>
      </c>
      <c r="DJ9" s="75" t="s">
        <v>8</v>
      </c>
      <c r="DK9" s="48" t="s">
        <v>8</v>
      </c>
      <c r="DL9" s="52">
        <f t="shared" ref="DL9:DL21" si="173">(((H9+L9+Q9+W9+AC9+AI9+AO9+AU9+BA9+BG9+BM9+BS9+BY9+CE9+CK9+CQ9+CW9+DC9+DI9)/G9)/$J$22)/I9</f>
        <v>1.1004328816320492</v>
      </c>
      <c r="DM9" s="51">
        <f t="shared" ref="DM9:DM21" si="174">DK$22-DL9</f>
        <v>-0.12633531324847924</v>
      </c>
      <c r="DN9" s="53">
        <f t="shared" ref="DN9:DN21" si="175">IF(DM9&gt;0,$G9*$I9*(($H$22+$L$22+$Q$22+$W$22+$AC$22+$AI$22+$AO$22+$AU$22+$BA$22+$BG$22+$BM$22+$BS$22+$BY$22+$CE$22+$CK$22+$CQ$22+$CW$22+$DC$22+$DI$22)/$G$22)*DM9,0)</f>
        <v>0</v>
      </c>
      <c r="DO9" s="131">
        <f t="shared" ref="DO9:DO21" si="176">IF((DJ$22-DN$22)&gt;0,DN9,DJ$22*DN9/DN$22)</f>
        <v>0</v>
      </c>
      <c r="DP9" s="75" t="s">
        <v>8</v>
      </c>
      <c r="DQ9" s="48" t="s">
        <v>8</v>
      </c>
      <c r="DR9" s="52">
        <f t="shared" ref="DR9:DR21" si="177">(((H9+L9+Q9+W9+AC9+AI9+AO9+AU9+BA9+BG9+BM9+BS9+BY9+CE9+CK9+CQ9+CW9+DC9+DI9+DO9)/G9)/$J$22)/I9</f>
        <v>1.1004328816320492</v>
      </c>
      <c r="DS9" s="51">
        <f t="shared" ref="DS9:DS21" si="178">DQ$22-DR9</f>
        <v>-0.12633531324847924</v>
      </c>
      <c r="DT9" s="53">
        <f>IF(DS9&gt;0,$G9*$I9*(($H$22+$L$22+$Q$22+$W$22+$AC$22+$AI$22+$AO$22+$AU$22+$BA$22+$BG$22+$BM$22+$BS$22+$BY$22+$CE$22+$CK$22+$CQ$22+$CW$22+$DC$22+$DI$22+$DO$22)/$G$22)*DS9,0)</f>
        <v>0</v>
      </c>
      <c r="DU9" s="131">
        <f t="shared" ref="DU9:DU21" si="179">IF((DP$22-DT$22)&gt;0,DT9,DP$22*DT9/DT$22)</f>
        <v>0</v>
      </c>
      <c r="DV9" s="174" t="s">
        <v>8</v>
      </c>
      <c r="DW9" s="163" t="s">
        <v>8</v>
      </c>
      <c r="DX9" s="199">
        <f t="shared" ref="DX9:DX21" si="180">((($H9+$L9+$Q9+$W9+$AC9+$AI9+$AO9+$AU9+$BA9+$BG9+$BM9+$BS9+$BY9+$CE9+$CK9+$CQ9+$CW9+$DC9+$DI9+$DO9+$DU9)/$G9)/$J$22)/$I9</f>
        <v>1.1004328816320492</v>
      </c>
      <c r="DY9" s="164">
        <f t="shared" ref="DY9:DY21" si="181">DW$22-DX9</f>
        <v>-0.12633531324847924</v>
      </c>
      <c r="DZ9" s="34">
        <f t="shared" ref="DZ9:DZ21" si="182">IF(DY9&gt;0,$G9*$I9*(($H$22+$L$22+$Q$22+$W$22+$AC$22+$AI$22+$AO$22+$AU$22+$BA$22+$BG$22+$BM$22+$BS$22+$BY$22+$CE$22+$CK$22+$CQ$22+$CW$22+$DC$22+$DI$22+$DO$22+$DU$22)/$G$22)*DY9,0)</f>
        <v>0</v>
      </c>
      <c r="EA9" s="165">
        <f t="shared" ref="EA9:EA21" si="183">IF((DV$22-DZ$22)&gt;0,DZ9,DV$22*DZ9/DZ$22)</f>
        <v>0</v>
      </c>
      <c r="EB9" s="174" t="s">
        <v>8</v>
      </c>
      <c r="EC9" s="163" t="s">
        <v>8</v>
      </c>
      <c r="ED9" s="199">
        <f t="shared" ref="ED9:ED21" si="184">((($H9+$L9+$Q9+$W9+$AC9+$AI9+$AO9+$AU9+$BA9+$BG9+$BM9+$BS9+$BY9+$CE9+$CK9+$CQ9+$CW9+$DC9+$DI9+$DO9+$DU9+$EA9)/$G9)/$J$22)/$I9</f>
        <v>1.1004328816320492</v>
      </c>
      <c r="EE9" s="164">
        <f t="shared" ref="EE9:EE21" si="185">EC$22-ED9</f>
        <v>-0.12633531324847924</v>
      </c>
      <c r="EF9" s="34">
        <f t="shared" ref="EF9:EF21" si="186">IF(EE9&gt;0,$G9*$I9*(($H$22+$L$22+$Q$22+$W$22+$AC$22+$AI$22+$AO$22+$AU$22+$BA$22+$BG$22+$BM$22+$BS$22+$BY$22+$CE$22+$CK$22+$CQ$22+$CW$22+$DC$22+$DI$22+$DO$22+$DU$22+$EA$22)/$G$22)*EE9,0)</f>
        <v>0</v>
      </c>
      <c r="EG9" s="165">
        <f t="shared" ref="EG9:EG21" si="187">IF((EB$22-EF$22)&gt;0,EF9,EB$22*EF9/EF$22)</f>
        <v>0</v>
      </c>
      <c r="EH9" s="174" t="s">
        <v>8</v>
      </c>
      <c r="EI9" s="163" t="s">
        <v>8</v>
      </c>
      <c r="EJ9" s="199">
        <f t="shared" ref="EJ9:EJ21" si="188">((($H9+$L9+$Q9+$W9+$AC9+$AI9+$AO9+$AU9+$BA9+$BG9+$BM9+$BS9+$BY9+$CE9+$CK9+$CQ9+$CW9+$DC9+$DI9+$DO9+$DU9+$EA9+$EG9)/$G9)/$J$22)/$I9</f>
        <v>1.1004328816320492</v>
      </c>
      <c r="EK9" s="164">
        <f t="shared" ref="EK9:EK21" si="189">EI$22-EJ9</f>
        <v>-0.12633531324847924</v>
      </c>
      <c r="EL9" s="34">
        <f t="shared" ref="EL9:EL21" si="190">IF(EK9&gt;0,$G9*$I9*(($H$22+$L$22+$Q$22+$W$22+$AC$22+$AI$22+$AO$22+$AU$22+$BA$22+$BG$22+$BM$22+$BS$22+$BY$22+$CE$22+$CK$22+$CQ$22+$CW$22+$DC$22+$DI$22+$DO$22+$DU$22+$EA$22+$EG$22)/$G$22)*EK9,0)</f>
        <v>0</v>
      </c>
      <c r="EM9" s="165">
        <f t="shared" ref="EM9:EM21" si="191">IF((EH$22-EL$22)&gt;0,EL9,EH$22*EL9/EL$22)</f>
        <v>0</v>
      </c>
      <c r="EN9" s="75" t="s">
        <v>8</v>
      </c>
      <c r="EO9" s="48" t="s">
        <v>8</v>
      </c>
      <c r="EP9" s="199">
        <f t="shared" ref="EP9:EP21" si="192">((($H9+$L9+$Q9+$W9+$AC9+$AI9+$AO9+$AU9+$BA9+$BG9+$BM9+$BS9+$BY9+$CE9+$CK9+$CQ9+$CW9+$DC9+$DI9+$DO9+$DU9+$EA9+$EG9+$EM9)/$G9)/$J$22)/$I9</f>
        <v>1.1004328816320492</v>
      </c>
      <c r="EQ9" s="51">
        <f t="shared" ref="EQ9:EQ21" si="193">EO$22-EP9</f>
        <v>-0.12633531324847924</v>
      </c>
      <c r="ER9" s="53">
        <f t="shared" ref="ER9:ER21" si="194">IF(EQ9&gt;0,$G9*$I9*(($H$22+$L$22+$Q$22+$W$22+$AC$22+$AI$22+$AO$22+$AU$22+$BA$22+$BG$22+$BM$22+$BS$22+$BY$22+$CE$22+$CK$22+$CQ$22+$CW$22+$DC$22+$DI$22+$DO$22+$DU$22+$EA$22+$EG$22+$EM$22)/$G$22)*EQ9,0)</f>
        <v>0</v>
      </c>
      <c r="ES9" s="79">
        <f t="shared" ref="ES9:ES21" si="195">IF((EN$22-ER$22)&gt;0,ER9,EN$22*ER9/ER$22)</f>
        <v>0</v>
      </c>
      <c r="ET9" s="174" t="s">
        <v>8</v>
      </c>
      <c r="EU9" s="163" t="s">
        <v>8</v>
      </c>
      <c r="EV9" s="199">
        <f t="shared" ref="EV9:EV21" si="196">((($H9+$L9+$Q9+$W9+$AC9+$AI9+$AO9+$AU9+$BA9+$BG9+$BM9+$BS9+$BY9+$CE9+$CK9+$CQ9+$CW9+$DC9+$DI9+$DO9+$DU9+$EA9+$EG9+$EM9+$ES9)/$G9)/$J$22)/$I9</f>
        <v>1.1004328816320492</v>
      </c>
      <c r="EW9" s="164">
        <f t="shared" ref="EW9:EW21" si="197">EU$22-EV9</f>
        <v>-0.12633531324847924</v>
      </c>
      <c r="EX9" s="34">
        <f t="shared" ref="EX9:EX21" si="198">IF(EW9&gt;0,$G9*$I9*(($H$22+$L$22+$Q$22+$W$22+$AC$22+$AI$22+$AO$22+$AU$22+$BA$22+$BG$22+$BM$22+$BS$22+$BY$22+$CE$22+$CK$22+$CQ$22+$CW$22+$DC$22+$DI$22+$DO$22+$DU$22+$EA$22+$EG$22+$EM$22+$ES$22)/$G$22)*EW9,0)</f>
        <v>0</v>
      </c>
      <c r="EY9" s="165">
        <f t="shared" ref="EY9:EY21" si="199">IF((ET$22-EX$22)&gt;0,EX9,ET$22*EX9/EX$22)</f>
        <v>0</v>
      </c>
      <c r="EZ9" s="174" t="s">
        <v>8</v>
      </c>
      <c r="FA9" s="163" t="s">
        <v>8</v>
      </c>
      <c r="FB9" s="199">
        <f t="shared" ref="FB9:FB21" si="200">((($H9+$L9+$Q9+$W9+$AC9+$AI9+$AO9+$AU9+$BA9+$BG9+$BM9+$BS9+$BY9+$CE9+$CK9+$CQ9+$CW9+$DC9+$DI9+$DO9+$DU9+$EA9+$EG9+$EM9+$ES9+$EY9)/$G9)/$J$22)/$I9</f>
        <v>1.1004328816320492</v>
      </c>
      <c r="FC9" s="164">
        <f t="shared" ref="FC9:FC21" si="201">FA$22-FB9</f>
        <v>-0.12633531324847924</v>
      </c>
      <c r="FD9" s="34">
        <f t="shared" ref="FD9:FD21" si="202">IF(FC9&gt;0,$G9*$I9*(($H$22+$L$22+$Q$22+$W$22+$AC$22+$AI$22+$AO$22+$AU$22+$BA$22+$BG$22+$BM$22+$BS$22+$BY$22+$CE$22+$CK$22+$CQ$22+$CW$22+$DC$22+$DI$22+$DO$22+$DU$22+$EA$22+$EG$22+$EM$22+$ES$22+$EY$22)/$G$22)*FC9,0)</f>
        <v>0</v>
      </c>
      <c r="FE9" s="165">
        <f t="shared" ref="FE9:FE21" si="203">IF((EZ$22-FD$22)&gt;0,FD9,EZ$22*FD9/FD$22)</f>
        <v>0</v>
      </c>
      <c r="FF9" s="174" t="s">
        <v>8</v>
      </c>
      <c r="FG9" s="163" t="s">
        <v>8</v>
      </c>
      <c r="FH9" s="199">
        <f t="shared" ref="FH9:FH21" si="204">((($H9+$L9+$Q9+$W9+$AC9+$AI9+$AO9+$AU9+$BA9+$BG9+$BM9+$BS9+$BY9+$CE9+$CK9+$CQ9+$CW9+$DC9+$DI9+$DO9+$DU9+$EA9+$EG9+$EM9+$ES9+$EY9+$FE9)/$G9)/$J$22)/$I9</f>
        <v>1.1004328816320492</v>
      </c>
      <c r="FI9" s="164">
        <f t="shared" ref="FI9:FI21" si="205">FG$22-FH9</f>
        <v>-0.12633531324847924</v>
      </c>
      <c r="FJ9" s="34">
        <f t="shared" ref="FJ9:FJ21" si="206">IF(FI9&gt;0,$G9*$I9*(($H$22+$L$22+$Q$22+$W$22+$AC$22+$AI$22+$AO$22+$AU$22+$BA$22+$BG$22+$BM$22+$BS$22+$BY$22+$CE$22+$CK$22+$CQ$22+$CW$22+$DC$22+$DI$22+$DO$22+$DU$22+$EA$22+$EG$22+$EM$22+$ES$22+$EY$22+$FE$22)/$G$22)*FI9,0)</f>
        <v>0</v>
      </c>
      <c r="FK9" s="165">
        <f t="shared" ref="FK9:FK21" si="207">IF((FF$22-FJ$22)&gt;0,FJ9,FF$22*FJ9/FJ$22)</f>
        <v>0</v>
      </c>
      <c r="FL9" s="174" t="s">
        <v>8</v>
      </c>
      <c r="FM9" s="163" t="s">
        <v>8</v>
      </c>
      <c r="FN9" s="199">
        <f t="shared" ref="FN9:FN21" si="208">((($H9+$L9+$Q9+$W9+$AC9+$AI9+$AO9+$AU9+$BA9+$BG9+$BM9+$BS9+$BY9+$CE9+$CK9+$CQ9+$CW9+$DC9+$DI9+$DO9+$DU9+$EA9+$EG9+$EM9+$ES9+$EY9+$FE9+$FK9)/$G9)/$J$22)/$I9</f>
        <v>1.1004328816320492</v>
      </c>
      <c r="FO9" s="164">
        <f t="shared" ref="FO9:FO21" si="209">FM$22-FN9</f>
        <v>-0.12633531324847924</v>
      </c>
      <c r="FP9" s="34">
        <f t="shared" ref="FP9:FP21" si="210">IF(FO9&gt;0,$G9*$I9*(($H$22+$L$22+$Q$22+$W$22+$AC$22+$AI$22+$AO$22+$AU$22+$BA$22+$BG$22+$BM$22+$BS$22+$BY$22+$CE$22+$CK$22+$CQ$22+$CW$22+$DC$22+$DI$22+$DO$22+$DU$22+$EA$22+$EG$22+$EM$22+$ES$22+$EY$22+$FE$22+$FK$22)/$G$22)*FO9,0)</f>
        <v>0</v>
      </c>
      <c r="FQ9" s="165">
        <f t="shared" ref="FQ9:FQ21" si="211">IF((FL$22-FP$22)&gt;0,FP9,FL$22*FP9/FP$22)</f>
        <v>0</v>
      </c>
      <c r="FR9" s="174" t="s">
        <v>8</v>
      </c>
      <c r="FS9" s="163" t="s">
        <v>8</v>
      </c>
      <c r="FT9" s="199">
        <f t="shared" ref="FT9:FT21" si="212">((($H9+$L9+$Q9+$W9+$AC9+$AI9+$AO9+$AU9+$BA9+$BG9+$BM9+$BS9+$BY9+$CE9+$CK9+$CQ9+$CW9+$DC9+$DI9+$DO9+$DU9+$EA9+$EG9+$EM9+$ES9+$EY9+$FE9+$FK9+$FQ9)/$G9)/$J$22)/$I9</f>
        <v>1.1004328816320492</v>
      </c>
      <c r="FU9" s="164">
        <f t="shared" ref="FU9:FU21" si="213">FS$22-FT9</f>
        <v>-0.12633531324847924</v>
      </c>
      <c r="FV9" s="34">
        <f t="shared" ref="FV9:FV21" si="214">IF(FU9&gt;0,$G9*$I9*(($H$22+$L$22+$Q$22+$W$22+$AC$22+$AI$22+$AO$22+$AU$22+$BA$22+$BG$22+$BM$22+$BS$22+$BY$22+$CE$22+$CK$22+$CQ$22+$CW$22+$DC$22+$DI$22+$DO$22+$DU$22+$EA$22+$EG$22+$EM$22+$ES$22+$EY$22+$FE$22+$FK$22+$FQ$22)/$G$22)*FU9,0)</f>
        <v>0</v>
      </c>
      <c r="FW9" s="165">
        <f t="shared" ref="FW9:FW21" si="215">IF((FR$22-FV$22)&gt;0,FV9,FR$22*FV9/FV$22)</f>
        <v>0</v>
      </c>
      <c r="FX9" s="174" t="s">
        <v>8</v>
      </c>
      <c r="FY9" s="163" t="s">
        <v>8</v>
      </c>
      <c r="FZ9" s="199">
        <f t="shared" ref="FZ9:FZ21" si="216">((($H9+$L9+$Q9+$W9+$AC9+$AI9+$AO9+$AU9+$BA9+$BG9+$BM9+$BS9+$BY9+$CE9+$CK9+$CQ9+$CW9+$DC9+$DI9+$DO9+$DU9+$EA9+$EG9+$EM9+$ES9+$EY9+$FE9+$FK9+$FQ9+$FW9)/$G9)/$J$22)/$I9</f>
        <v>1.1004328816320492</v>
      </c>
      <c r="GA9" s="164">
        <f t="shared" ref="GA9:GA21" si="217">FY$22-FZ9</f>
        <v>-0.12633531324847924</v>
      </c>
      <c r="GB9" s="34">
        <f t="shared" ref="GB9:GB21" si="218">IF(GA9&gt;0,$G9*$I9*(($H$22+$L$22+$Q$22+$W$22+$AC$22+$AI$22+$AO$22+$AU$22+$BA$22+$BG$22+$BM$22+$BS$22+$BY$22+$CE$22+$CK$22+$CQ$22+$CW$22+$DC$22+$DI$22+$DO$22+$DU$22+$EA$22+$EG$22+$EM$22+$ES$22+$EY$22+$FE$22+$FK$22+$FQ$22+$FW$22)/$G$22)*GA9,0)</f>
        <v>0</v>
      </c>
      <c r="GC9" s="165">
        <f t="shared" ref="GC9:GC21" si="219">IF((FX$22-GB$22)&gt;0,GB9,FX$22*GB9/GB$22)</f>
        <v>0</v>
      </c>
      <c r="GD9" s="174" t="s">
        <v>8</v>
      </c>
      <c r="GE9" s="163" t="s">
        <v>8</v>
      </c>
      <c r="GF9" s="199">
        <f t="shared" ref="GF9:GF21" si="220">((($H9+$L9+$Q9+$W9+$AC9+$AI9+$AO9+$AU9+$BA9+$BG9+$BM9+$BS9+$BY9+$CE9+$CK9+$CQ9+$CW9+$DC9+$DI9+$DO9+$DU9+$EA9+$EG9+$EM9+$ES9+$EY9+$FE9+$FK9+$FQ9+$FW9+$GC9)/$G9)/$J$22)/$I9</f>
        <v>1.1004328816320492</v>
      </c>
      <c r="GG9" s="164">
        <f t="shared" ref="GG9:GG21" si="221">GE$22-GF9</f>
        <v>-0.12633531324847924</v>
      </c>
      <c r="GH9" s="34">
        <f t="shared" ref="GH9:GH21" si="222">IF(GG9&gt;0,$G9*$I9*(($H$22+$L$22+$Q$22+$W$22+$AC$22+$AI$22+$AO$22+$AU$22+$BA$22+$BG$22+$BM$22+$BS$22+$BY$22+$CE$22+$CK$22+$CQ$22+$CW$22+$DC$22+$DI$22+$DO$22+$DU$22+$EA$22+$EG$22+$EM$22+$ES$22+$EY$22+$FE$22+$FK$22+$FQ$22+$FW$22+$GC$22)/$G$22)*GG9,0)</f>
        <v>0</v>
      </c>
      <c r="GI9" s="180">
        <f t="shared" ref="GI9:GI21" si="223">IF((GD$22-GH$22)&gt;0,GH9,GD$22*GH9/GH$22)</f>
        <v>0</v>
      </c>
      <c r="GJ9" s="178">
        <f>Q9+W9+AC9+AI9+AO9+AU9+BA9+BG9+BM9+BS9+BY9+CE9+CK9+CQ9+CW9+DC9+DI9+DO9+DU9+EA9+EG9+EM9+ES9+EY9+FE9+FK9+FQ9+FW9+GC9+GI9</f>
        <v>1743584.4518982393</v>
      </c>
      <c r="GK9" s="166">
        <f t="shared" ref="GK9:GK22" si="224">L9+GJ9</f>
        <v>2791368.5894957054</v>
      </c>
      <c r="GL9" s="167">
        <f t="shared" ref="GL9:GL21" si="225">K9+GK9/($H$22/$G$22)/G9/I9</f>
        <v>1.1004328816320492</v>
      </c>
      <c r="GN9" s="214">
        <v>2791368.59</v>
      </c>
    </row>
    <row r="10" spans="1:196" s="25" customFormat="1" ht="30" x14ac:dyDescent="0.25">
      <c r="A10" s="184" t="s">
        <v>174</v>
      </c>
      <c r="B10" s="155" t="s">
        <v>8</v>
      </c>
      <c r="C10" s="155" t="s">
        <v>8</v>
      </c>
      <c r="D10" s="155" t="s">
        <v>8</v>
      </c>
      <c r="E10" s="155" t="s">
        <v>8</v>
      </c>
      <c r="F10" s="155" t="s">
        <v>8</v>
      </c>
      <c r="G10" s="113">
        <f>'Исходные данные 25 г.'!C12</f>
        <v>188</v>
      </c>
      <c r="H10" s="31">
        <f>'Исходные данные 25 г.'!D12</f>
        <v>61710</v>
      </c>
      <c r="I10" s="32">
        <f>'Расчет КРП'!H8</f>
        <v>6.6057870073762368</v>
      </c>
      <c r="J10" s="120" t="s">
        <v>8</v>
      </c>
      <c r="K10" s="124">
        <f t="shared" si="104"/>
        <v>8.2295748286107792E-2</v>
      </c>
      <c r="L10" s="77">
        <f t="shared" si="105"/>
        <v>228519.04625095552</v>
      </c>
      <c r="M10" s="73">
        <f t="shared" si="106"/>
        <v>0.38704612762252111</v>
      </c>
      <c r="N10" s="30" t="s">
        <v>8</v>
      </c>
      <c r="O10" s="33">
        <f t="shared" si="107"/>
        <v>0.12128176428869164</v>
      </c>
      <c r="P10" s="34">
        <f t="shared" ref="P10:P21" si="226">IF(O10&gt;0,G10*I10*(($H$22+$L$22)/$G$22)*O10,0)</f>
        <v>274024.57917387225</v>
      </c>
      <c r="Q10" s="80">
        <f t="shared" si="108"/>
        <v>274024.57917387225</v>
      </c>
      <c r="R10" s="160" t="s">
        <v>8</v>
      </c>
      <c r="S10" s="30" t="s">
        <v>8</v>
      </c>
      <c r="T10" s="35">
        <f t="shared" si="109"/>
        <v>0.7524821637900726</v>
      </c>
      <c r="U10" s="33">
        <f t="shared" si="110"/>
        <v>-2.5013342048036624E-2</v>
      </c>
      <c r="V10" s="53">
        <f t="shared" si="111"/>
        <v>0</v>
      </c>
      <c r="W10" s="80">
        <f t="shared" si="112"/>
        <v>0</v>
      </c>
      <c r="X10" s="76" t="s">
        <v>8</v>
      </c>
      <c r="Y10" s="30" t="s">
        <v>8</v>
      </c>
      <c r="Z10" s="35">
        <f t="shared" si="113"/>
        <v>0.7524821637900726</v>
      </c>
      <c r="AA10" s="33">
        <f t="shared" si="114"/>
        <v>9.1023190367002349E-2</v>
      </c>
      <c r="AB10" s="53">
        <f t="shared" si="115"/>
        <v>301863.50118145614</v>
      </c>
      <c r="AC10" s="80">
        <f t="shared" si="116"/>
        <v>301863.50118145614</v>
      </c>
      <c r="AD10" s="76" t="s">
        <v>8</v>
      </c>
      <c r="AE10" s="30" t="s">
        <v>8</v>
      </c>
      <c r="AF10" s="35">
        <f t="shared" si="117"/>
        <v>1.1550438670795287</v>
      </c>
      <c r="AG10" s="33">
        <f t="shared" si="118"/>
        <v>-0.21477758188643792</v>
      </c>
      <c r="AH10" s="53">
        <f t="shared" si="119"/>
        <v>0</v>
      </c>
      <c r="AI10" s="80">
        <f t="shared" si="120"/>
        <v>0</v>
      </c>
      <c r="AJ10" s="76" t="s">
        <v>8</v>
      </c>
      <c r="AK10" s="30" t="s">
        <v>8</v>
      </c>
      <c r="AL10" s="35">
        <f t="shared" si="121"/>
        <v>1.1550438670795287</v>
      </c>
      <c r="AM10" s="33">
        <f t="shared" si="122"/>
        <v>-0.18094629869595868</v>
      </c>
      <c r="AN10" s="53">
        <f t="shared" si="123"/>
        <v>0</v>
      </c>
      <c r="AO10" s="80">
        <f t="shared" si="124"/>
        <v>0</v>
      </c>
      <c r="AP10" s="76" t="s">
        <v>8</v>
      </c>
      <c r="AQ10" s="30" t="s">
        <v>8</v>
      </c>
      <c r="AR10" s="35">
        <f t="shared" si="125"/>
        <v>1.1550438670795287</v>
      </c>
      <c r="AS10" s="33">
        <f t="shared" si="126"/>
        <v>-0.18094629869595868</v>
      </c>
      <c r="AT10" s="53">
        <f t="shared" si="127"/>
        <v>0</v>
      </c>
      <c r="AU10" s="80">
        <f t="shared" si="128"/>
        <v>0</v>
      </c>
      <c r="AV10" s="76" t="s">
        <v>8</v>
      </c>
      <c r="AW10" s="30" t="s">
        <v>8</v>
      </c>
      <c r="AX10" s="35">
        <f t="shared" si="129"/>
        <v>1.1550438670795287</v>
      </c>
      <c r="AY10" s="33">
        <f t="shared" si="130"/>
        <v>-0.18094629869595868</v>
      </c>
      <c r="AZ10" s="53">
        <f t="shared" si="131"/>
        <v>0</v>
      </c>
      <c r="BA10" s="80">
        <f t="shared" si="132"/>
        <v>0</v>
      </c>
      <c r="BB10" s="76" t="s">
        <v>8</v>
      </c>
      <c r="BC10" s="30" t="s">
        <v>8</v>
      </c>
      <c r="BD10" s="35">
        <f t="shared" si="133"/>
        <v>1.1550438670795287</v>
      </c>
      <c r="BE10" s="33">
        <f t="shared" si="134"/>
        <v>-0.18094629869595868</v>
      </c>
      <c r="BF10" s="53">
        <f t="shared" si="135"/>
        <v>0</v>
      </c>
      <c r="BG10" s="80">
        <f t="shared" si="136"/>
        <v>0</v>
      </c>
      <c r="BH10" s="76" t="s">
        <v>8</v>
      </c>
      <c r="BI10" s="30" t="s">
        <v>8</v>
      </c>
      <c r="BJ10" s="35">
        <f t="shared" si="137"/>
        <v>1.1550438670795287</v>
      </c>
      <c r="BK10" s="33">
        <f t="shared" si="138"/>
        <v>-0.18094629869595868</v>
      </c>
      <c r="BL10" s="53">
        <f t="shared" si="139"/>
        <v>0</v>
      </c>
      <c r="BM10" s="80">
        <f t="shared" si="140"/>
        <v>0</v>
      </c>
      <c r="BN10" s="76" t="s">
        <v>8</v>
      </c>
      <c r="BO10" s="30" t="s">
        <v>8</v>
      </c>
      <c r="BP10" s="35">
        <f t="shared" si="141"/>
        <v>1.1550438670795287</v>
      </c>
      <c r="BQ10" s="33">
        <f t="shared" si="142"/>
        <v>-0.18094629869595868</v>
      </c>
      <c r="BR10" s="53">
        <f t="shared" si="143"/>
        <v>0</v>
      </c>
      <c r="BS10" s="132">
        <f t="shared" si="144"/>
        <v>0</v>
      </c>
      <c r="BT10" s="76" t="s">
        <v>8</v>
      </c>
      <c r="BU10" s="30" t="s">
        <v>8</v>
      </c>
      <c r="BV10" s="35">
        <f t="shared" si="145"/>
        <v>1.1550438670795287</v>
      </c>
      <c r="BW10" s="33">
        <f t="shared" si="146"/>
        <v>-0.18094629869595868</v>
      </c>
      <c r="BX10" s="53">
        <f t="shared" si="147"/>
        <v>0</v>
      </c>
      <c r="BY10" s="132">
        <f t="shared" si="148"/>
        <v>0</v>
      </c>
      <c r="BZ10" s="76" t="s">
        <v>8</v>
      </c>
      <c r="CA10" s="30" t="s">
        <v>8</v>
      </c>
      <c r="CB10" s="35">
        <f t="shared" si="149"/>
        <v>1.1550438670795287</v>
      </c>
      <c r="CC10" s="33">
        <f t="shared" si="150"/>
        <v>-0.18094629869595868</v>
      </c>
      <c r="CD10" s="53">
        <f t="shared" si="151"/>
        <v>0</v>
      </c>
      <c r="CE10" s="132">
        <f t="shared" si="152"/>
        <v>0</v>
      </c>
      <c r="CF10" s="76" t="s">
        <v>8</v>
      </c>
      <c r="CG10" s="30" t="s">
        <v>8</v>
      </c>
      <c r="CH10" s="35">
        <f t="shared" si="153"/>
        <v>1.1550438670795287</v>
      </c>
      <c r="CI10" s="33">
        <f t="shared" si="154"/>
        <v>-0.18094629869595868</v>
      </c>
      <c r="CJ10" s="53">
        <f t="shared" si="155"/>
        <v>0</v>
      </c>
      <c r="CK10" s="132">
        <f t="shared" si="156"/>
        <v>0</v>
      </c>
      <c r="CL10" s="76" t="s">
        <v>8</v>
      </c>
      <c r="CM10" s="30" t="s">
        <v>8</v>
      </c>
      <c r="CN10" s="35">
        <f t="shared" si="157"/>
        <v>1.1550438670795287</v>
      </c>
      <c r="CO10" s="33">
        <f t="shared" si="158"/>
        <v>-0.18094629869595868</v>
      </c>
      <c r="CP10" s="53">
        <f t="shared" si="159"/>
        <v>0</v>
      </c>
      <c r="CQ10" s="132">
        <f t="shared" si="160"/>
        <v>0</v>
      </c>
      <c r="CR10" s="76" t="s">
        <v>8</v>
      </c>
      <c r="CS10" s="30" t="s">
        <v>8</v>
      </c>
      <c r="CT10" s="35">
        <f t="shared" si="161"/>
        <v>1.1550438670795287</v>
      </c>
      <c r="CU10" s="33">
        <f t="shared" si="162"/>
        <v>-0.18094629869595868</v>
      </c>
      <c r="CV10" s="53">
        <f t="shared" si="163"/>
        <v>0</v>
      </c>
      <c r="CW10" s="132">
        <f t="shared" si="164"/>
        <v>0</v>
      </c>
      <c r="CX10" s="76" t="s">
        <v>8</v>
      </c>
      <c r="CY10" s="30" t="s">
        <v>8</v>
      </c>
      <c r="CZ10" s="35">
        <f t="shared" si="165"/>
        <v>1.1550438670795287</v>
      </c>
      <c r="DA10" s="33">
        <f t="shared" si="166"/>
        <v>-0.18094629869595868</v>
      </c>
      <c r="DB10" s="53">
        <f t="shared" si="167"/>
        <v>0</v>
      </c>
      <c r="DC10" s="132">
        <f t="shared" si="168"/>
        <v>0</v>
      </c>
      <c r="DD10" s="76" t="s">
        <v>8</v>
      </c>
      <c r="DE10" s="30" t="s">
        <v>8</v>
      </c>
      <c r="DF10" s="35">
        <f t="shared" si="169"/>
        <v>1.1550438670795287</v>
      </c>
      <c r="DG10" s="33">
        <f t="shared" si="170"/>
        <v>-0.18094629869595868</v>
      </c>
      <c r="DH10" s="53">
        <f t="shared" si="171"/>
        <v>0</v>
      </c>
      <c r="DI10" s="132">
        <f t="shared" si="172"/>
        <v>0</v>
      </c>
      <c r="DJ10" s="76" t="s">
        <v>8</v>
      </c>
      <c r="DK10" s="30" t="s">
        <v>8</v>
      </c>
      <c r="DL10" s="35">
        <f t="shared" si="173"/>
        <v>1.1550438670795287</v>
      </c>
      <c r="DM10" s="51">
        <f t="shared" si="174"/>
        <v>-0.18094629869595868</v>
      </c>
      <c r="DN10" s="53">
        <f t="shared" si="175"/>
        <v>0</v>
      </c>
      <c r="DO10" s="132">
        <f t="shared" si="176"/>
        <v>0</v>
      </c>
      <c r="DP10" s="76" t="s">
        <v>8</v>
      </c>
      <c r="DQ10" s="30" t="s">
        <v>8</v>
      </c>
      <c r="DR10" s="35">
        <f t="shared" si="177"/>
        <v>1.1550438670795287</v>
      </c>
      <c r="DS10" s="51">
        <f t="shared" si="178"/>
        <v>-0.18094629869595868</v>
      </c>
      <c r="DT10" s="53">
        <f t="shared" ref="DT10:DT21" si="227">IF(DS10&gt;0,$G10*$I10*(($H$22+$L$22+$Q$22+$W$22+$AC$22+$AI$22+$AO$22+$AU$22+$BA$22+$BG$22+$BM$22+$BS$22+$BY$22+$CE$22+$CK$22+$CQ$22+$CW$22+$DC$22+$DI$22+$DO$22)/$G$22)*DS10,0)</f>
        <v>0</v>
      </c>
      <c r="DU10" s="132">
        <f t="shared" si="179"/>
        <v>0</v>
      </c>
      <c r="DV10" s="76" t="s">
        <v>8</v>
      </c>
      <c r="DW10" s="30" t="s">
        <v>8</v>
      </c>
      <c r="DX10" s="35">
        <f t="shared" si="180"/>
        <v>1.1550438670795287</v>
      </c>
      <c r="DY10" s="33">
        <f t="shared" si="181"/>
        <v>-0.18094629869595868</v>
      </c>
      <c r="DZ10" s="34">
        <f t="shared" si="182"/>
        <v>0</v>
      </c>
      <c r="EA10" s="80">
        <f t="shared" si="183"/>
        <v>0</v>
      </c>
      <c r="EB10" s="76" t="s">
        <v>8</v>
      </c>
      <c r="EC10" s="30" t="s">
        <v>8</v>
      </c>
      <c r="ED10" s="35">
        <f t="shared" si="184"/>
        <v>1.1550438670795287</v>
      </c>
      <c r="EE10" s="33">
        <f t="shared" si="185"/>
        <v>-0.18094629869595868</v>
      </c>
      <c r="EF10" s="34">
        <f t="shared" si="186"/>
        <v>0</v>
      </c>
      <c r="EG10" s="80">
        <f t="shared" si="187"/>
        <v>0</v>
      </c>
      <c r="EH10" s="76" t="s">
        <v>8</v>
      </c>
      <c r="EI10" s="30" t="s">
        <v>8</v>
      </c>
      <c r="EJ10" s="35">
        <f t="shared" si="188"/>
        <v>1.1550438670795287</v>
      </c>
      <c r="EK10" s="33">
        <f t="shared" si="189"/>
        <v>-0.18094629869595868</v>
      </c>
      <c r="EL10" s="34">
        <f t="shared" si="190"/>
        <v>0</v>
      </c>
      <c r="EM10" s="80">
        <f t="shared" si="191"/>
        <v>0</v>
      </c>
      <c r="EN10" s="76" t="s">
        <v>8</v>
      </c>
      <c r="EO10" s="30" t="s">
        <v>8</v>
      </c>
      <c r="EP10" s="35">
        <f t="shared" si="192"/>
        <v>1.1550438670795287</v>
      </c>
      <c r="EQ10" s="51">
        <f t="shared" si="193"/>
        <v>-0.18094629869595868</v>
      </c>
      <c r="ER10" s="34">
        <f t="shared" si="194"/>
        <v>0</v>
      </c>
      <c r="ES10" s="80">
        <f t="shared" si="195"/>
        <v>0</v>
      </c>
      <c r="ET10" s="76" t="s">
        <v>8</v>
      </c>
      <c r="EU10" s="30" t="s">
        <v>8</v>
      </c>
      <c r="EV10" s="35">
        <f t="shared" si="196"/>
        <v>1.1550438670795287</v>
      </c>
      <c r="EW10" s="33">
        <f t="shared" si="197"/>
        <v>-0.18094629869595868</v>
      </c>
      <c r="EX10" s="34">
        <f t="shared" si="198"/>
        <v>0</v>
      </c>
      <c r="EY10" s="80">
        <f t="shared" si="199"/>
        <v>0</v>
      </c>
      <c r="EZ10" s="76" t="s">
        <v>8</v>
      </c>
      <c r="FA10" s="30" t="s">
        <v>8</v>
      </c>
      <c r="FB10" s="35">
        <f t="shared" si="200"/>
        <v>1.1550438670795287</v>
      </c>
      <c r="FC10" s="33">
        <f t="shared" si="201"/>
        <v>-0.18094629869595868</v>
      </c>
      <c r="FD10" s="34">
        <f t="shared" si="202"/>
        <v>0</v>
      </c>
      <c r="FE10" s="80">
        <f t="shared" si="203"/>
        <v>0</v>
      </c>
      <c r="FF10" s="76" t="s">
        <v>8</v>
      </c>
      <c r="FG10" s="30" t="s">
        <v>8</v>
      </c>
      <c r="FH10" s="35">
        <f t="shared" si="204"/>
        <v>1.1550438670795287</v>
      </c>
      <c r="FI10" s="33">
        <f t="shared" si="205"/>
        <v>-0.18094629869595868</v>
      </c>
      <c r="FJ10" s="34">
        <f t="shared" si="206"/>
        <v>0</v>
      </c>
      <c r="FK10" s="80">
        <f t="shared" si="207"/>
        <v>0</v>
      </c>
      <c r="FL10" s="76" t="s">
        <v>8</v>
      </c>
      <c r="FM10" s="30" t="s">
        <v>8</v>
      </c>
      <c r="FN10" s="35">
        <f t="shared" si="208"/>
        <v>1.1550438670795287</v>
      </c>
      <c r="FO10" s="33">
        <f t="shared" si="209"/>
        <v>-0.18094629869595868</v>
      </c>
      <c r="FP10" s="34">
        <f t="shared" si="210"/>
        <v>0</v>
      </c>
      <c r="FQ10" s="80">
        <f t="shared" si="211"/>
        <v>0</v>
      </c>
      <c r="FR10" s="76" t="s">
        <v>8</v>
      </c>
      <c r="FS10" s="30" t="s">
        <v>8</v>
      </c>
      <c r="FT10" s="35">
        <f t="shared" si="212"/>
        <v>1.1550438670795287</v>
      </c>
      <c r="FU10" s="33">
        <f t="shared" si="213"/>
        <v>-0.18094629869595868</v>
      </c>
      <c r="FV10" s="34">
        <f t="shared" si="214"/>
        <v>0</v>
      </c>
      <c r="FW10" s="80">
        <f t="shared" si="215"/>
        <v>0</v>
      </c>
      <c r="FX10" s="76" t="s">
        <v>8</v>
      </c>
      <c r="FY10" s="30" t="s">
        <v>8</v>
      </c>
      <c r="FZ10" s="35">
        <f t="shared" si="216"/>
        <v>1.1550438670795287</v>
      </c>
      <c r="GA10" s="33">
        <f t="shared" si="217"/>
        <v>-0.18094629869595868</v>
      </c>
      <c r="GB10" s="34">
        <f t="shared" si="218"/>
        <v>0</v>
      </c>
      <c r="GC10" s="80">
        <f t="shared" si="219"/>
        <v>0</v>
      </c>
      <c r="GD10" s="76" t="s">
        <v>8</v>
      </c>
      <c r="GE10" s="30" t="s">
        <v>8</v>
      </c>
      <c r="GF10" s="35">
        <f t="shared" si="220"/>
        <v>1.1550438670795287</v>
      </c>
      <c r="GG10" s="33">
        <f t="shared" si="221"/>
        <v>-0.18094629869595868</v>
      </c>
      <c r="GH10" s="34">
        <f t="shared" si="222"/>
        <v>0</v>
      </c>
      <c r="GI10" s="132">
        <f t="shared" si="223"/>
        <v>0</v>
      </c>
      <c r="GJ10" s="168">
        <f t="shared" ref="GJ10:GJ21" si="228">Q10+W10+AC10+AI10+AO10+AU10+BA10+BG10+BM10+BS10+BY10+CE10+CK10+CQ10+CW10+DC10+DI10+DO10+DU10+EA10+EG10+EM10+ES10+EY10+FE10+FK10+FQ10+FW10+GC10+GI10</f>
        <v>575888.08035532839</v>
      </c>
      <c r="GK10" s="104">
        <f t="shared" si="224"/>
        <v>804407.12660628394</v>
      </c>
      <c r="GL10" s="86">
        <f t="shared" si="225"/>
        <v>1.1550438670795284</v>
      </c>
      <c r="GN10" s="214">
        <v>804407.13</v>
      </c>
    </row>
    <row r="11" spans="1:196" s="25" customFormat="1" ht="30" x14ac:dyDescent="0.25">
      <c r="A11" s="184" t="s">
        <v>175</v>
      </c>
      <c r="B11" s="155" t="s">
        <v>8</v>
      </c>
      <c r="C11" s="155" t="s">
        <v>8</v>
      </c>
      <c r="D11" s="155" t="s">
        <v>8</v>
      </c>
      <c r="E11" s="155" t="s">
        <v>8</v>
      </c>
      <c r="F11" s="155" t="s">
        <v>8</v>
      </c>
      <c r="G11" s="113">
        <f>'Исходные данные 25 г.'!C13</f>
        <v>221</v>
      </c>
      <c r="H11" s="31">
        <f>'Исходные данные 25 г.'!D13</f>
        <v>86380</v>
      </c>
      <c r="I11" s="32">
        <f>'Расчет КРП'!H9</f>
        <v>6.5384147992780157</v>
      </c>
      <c r="J11" s="120" t="s">
        <v>8</v>
      </c>
      <c r="K11" s="124">
        <f t="shared" si="104"/>
        <v>9.9003996220937932E-2</v>
      </c>
      <c r="L11" s="77">
        <f t="shared" si="105"/>
        <v>268631.4320290488</v>
      </c>
      <c r="M11" s="73">
        <f t="shared" si="106"/>
        <v>0.40689454127105479</v>
      </c>
      <c r="N11" s="30" t="s">
        <v>8</v>
      </c>
      <c r="O11" s="33">
        <f t="shared" si="107"/>
        <v>0.10143335064015796</v>
      </c>
      <c r="P11" s="34">
        <f t="shared" si="226"/>
        <v>266659.53167094151</v>
      </c>
      <c r="Q11" s="80">
        <f t="shared" si="108"/>
        <v>266659.53167094151</v>
      </c>
      <c r="R11" s="160" t="s">
        <v>8</v>
      </c>
      <c r="S11" s="30" t="s">
        <v>8</v>
      </c>
      <c r="T11" s="35">
        <f t="shared" si="109"/>
        <v>0.71252500278792175</v>
      </c>
      <c r="U11" s="33">
        <f t="shared" si="110"/>
        <v>1.494381895411423E-2</v>
      </c>
      <c r="V11" s="53">
        <f t="shared" si="111"/>
        <v>47328.345314146936</v>
      </c>
      <c r="W11" s="80">
        <f t="shared" si="112"/>
        <v>47328.345314146936</v>
      </c>
      <c r="X11" s="76" t="s">
        <v>8</v>
      </c>
      <c r="Y11" s="30" t="s">
        <v>8</v>
      </c>
      <c r="Z11" s="35">
        <f t="shared" si="113"/>
        <v>0.76677014426309009</v>
      </c>
      <c r="AA11" s="33">
        <f t="shared" si="114"/>
        <v>7.6735209893984857E-2</v>
      </c>
      <c r="AB11" s="53">
        <f t="shared" si="115"/>
        <v>296098.06118165341</v>
      </c>
      <c r="AC11" s="80">
        <f t="shared" si="116"/>
        <v>296098.06118165341</v>
      </c>
      <c r="AD11" s="76" t="s">
        <v>8</v>
      </c>
      <c r="AE11" s="30" t="s">
        <v>8</v>
      </c>
      <c r="AF11" s="35">
        <f t="shared" si="117"/>
        <v>1.1061414261600044</v>
      </c>
      <c r="AG11" s="33">
        <f t="shared" si="118"/>
        <v>-0.16587514096691369</v>
      </c>
      <c r="AH11" s="53">
        <f t="shared" si="119"/>
        <v>0</v>
      </c>
      <c r="AI11" s="80">
        <f t="shared" si="120"/>
        <v>0</v>
      </c>
      <c r="AJ11" s="76" t="s">
        <v>8</v>
      </c>
      <c r="AK11" s="30" t="s">
        <v>8</v>
      </c>
      <c r="AL11" s="35">
        <f t="shared" si="121"/>
        <v>1.1061414261600044</v>
      </c>
      <c r="AM11" s="33">
        <f t="shared" si="122"/>
        <v>-0.13204385777643446</v>
      </c>
      <c r="AN11" s="53">
        <f t="shared" si="123"/>
        <v>0</v>
      </c>
      <c r="AO11" s="80">
        <f t="shared" si="124"/>
        <v>0</v>
      </c>
      <c r="AP11" s="76" t="s">
        <v>8</v>
      </c>
      <c r="AQ11" s="30" t="s">
        <v>8</v>
      </c>
      <c r="AR11" s="35">
        <f t="shared" si="125"/>
        <v>1.1061414261600044</v>
      </c>
      <c r="AS11" s="33">
        <f t="shared" si="126"/>
        <v>-0.13204385777643446</v>
      </c>
      <c r="AT11" s="53">
        <f t="shared" si="127"/>
        <v>0</v>
      </c>
      <c r="AU11" s="80">
        <f t="shared" si="128"/>
        <v>0</v>
      </c>
      <c r="AV11" s="76" t="s">
        <v>8</v>
      </c>
      <c r="AW11" s="30" t="s">
        <v>8</v>
      </c>
      <c r="AX11" s="35">
        <f t="shared" si="129"/>
        <v>1.1061414261600044</v>
      </c>
      <c r="AY11" s="33">
        <f t="shared" si="130"/>
        <v>-0.13204385777643446</v>
      </c>
      <c r="AZ11" s="53">
        <f t="shared" si="131"/>
        <v>0</v>
      </c>
      <c r="BA11" s="80">
        <f t="shared" si="132"/>
        <v>0</v>
      </c>
      <c r="BB11" s="76" t="s">
        <v>8</v>
      </c>
      <c r="BC11" s="30" t="s">
        <v>8</v>
      </c>
      <c r="BD11" s="35">
        <f t="shared" si="133"/>
        <v>1.1061414261600044</v>
      </c>
      <c r="BE11" s="33">
        <f t="shared" si="134"/>
        <v>-0.13204385777643446</v>
      </c>
      <c r="BF11" s="53">
        <f t="shared" si="135"/>
        <v>0</v>
      </c>
      <c r="BG11" s="80">
        <f t="shared" si="136"/>
        <v>0</v>
      </c>
      <c r="BH11" s="76" t="s">
        <v>8</v>
      </c>
      <c r="BI11" s="30" t="s">
        <v>8</v>
      </c>
      <c r="BJ11" s="35">
        <f t="shared" si="137"/>
        <v>1.1061414261600044</v>
      </c>
      <c r="BK11" s="33">
        <f t="shared" si="138"/>
        <v>-0.13204385777643446</v>
      </c>
      <c r="BL11" s="53">
        <f t="shared" si="139"/>
        <v>0</v>
      </c>
      <c r="BM11" s="80">
        <f t="shared" si="140"/>
        <v>0</v>
      </c>
      <c r="BN11" s="76" t="s">
        <v>8</v>
      </c>
      <c r="BO11" s="30" t="s">
        <v>8</v>
      </c>
      <c r="BP11" s="35">
        <f t="shared" si="141"/>
        <v>1.1061414261600044</v>
      </c>
      <c r="BQ11" s="33">
        <f t="shared" si="142"/>
        <v>-0.13204385777643446</v>
      </c>
      <c r="BR11" s="53">
        <f t="shared" si="143"/>
        <v>0</v>
      </c>
      <c r="BS11" s="132">
        <f t="shared" si="144"/>
        <v>0</v>
      </c>
      <c r="BT11" s="76" t="s">
        <v>8</v>
      </c>
      <c r="BU11" s="30" t="s">
        <v>8</v>
      </c>
      <c r="BV11" s="35">
        <f t="shared" si="145"/>
        <v>1.1061414261600044</v>
      </c>
      <c r="BW11" s="33">
        <f t="shared" si="146"/>
        <v>-0.13204385777643446</v>
      </c>
      <c r="BX11" s="53">
        <f t="shared" si="147"/>
        <v>0</v>
      </c>
      <c r="BY11" s="132">
        <f t="shared" si="148"/>
        <v>0</v>
      </c>
      <c r="BZ11" s="76" t="s">
        <v>8</v>
      </c>
      <c r="CA11" s="30" t="s">
        <v>8</v>
      </c>
      <c r="CB11" s="35">
        <f t="shared" si="149"/>
        <v>1.1061414261600044</v>
      </c>
      <c r="CC11" s="33">
        <f t="shared" si="150"/>
        <v>-0.13204385777643446</v>
      </c>
      <c r="CD11" s="53">
        <f t="shared" si="151"/>
        <v>0</v>
      </c>
      <c r="CE11" s="132">
        <f t="shared" si="152"/>
        <v>0</v>
      </c>
      <c r="CF11" s="76" t="s">
        <v>8</v>
      </c>
      <c r="CG11" s="30" t="s">
        <v>8</v>
      </c>
      <c r="CH11" s="35">
        <f t="shared" si="153"/>
        <v>1.1061414261600044</v>
      </c>
      <c r="CI11" s="33">
        <f t="shared" si="154"/>
        <v>-0.13204385777643446</v>
      </c>
      <c r="CJ11" s="53">
        <f t="shared" si="155"/>
        <v>0</v>
      </c>
      <c r="CK11" s="132">
        <f t="shared" si="156"/>
        <v>0</v>
      </c>
      <c r="CL11" s="76" t="s">
        <v>8</v>
      </c>
      <c r="CM11" s="30" t="s">
        <v>8</v>
      </c>
      <c r="CN11" s="35">
        <f t="shared" si="157"/>
        <v>1.1061414261600044</v>
      </c>
      <c r="CO11" s="33">
        <f t="shared" si="158"/>
        <v>-0.13204385777643446</v>
      </c>
      <c r="CP11" s="53">
        <f t="shared" si="159"/>
        <v>0</v>
      </c>
      <c r="CQ11" s="132">
        <f t="shared" si="160"/>
        <v>0</v>
      </c>
      <c r="CR11" s="76" t="s">
        <v>8</v>
      </c>
      <c r="CS11" s="30" t="s">
        <v>8</v>
      </c>
      <c r="CT11" s="35">
        <f t="shared" si="161"/>
        <v>1.1061414261600044</v>
      </c>
      <c r="CU11" s="33">
        <f t="shared" si="162"/>
        <v>-0.13204385777643446</v>
      </c>
      <c r="CV11" s="53">
        <f t="shared" si="163"/>
        <v>0</v>
      </c>
      <c r="CW11" s="132">
        <f t="shared" si="164"/>
        <v>0</v>
      </c>
      <c r="CX11" s="76" t="s">
        <v>8</v>
      </c>
      <c r="CY11" s="30" t="s">
        <v>8</v>
      </c>
      <c r="CZ11" s="35">
        <f t="shared" si="165"/>
        <v>1.1061414261600044</v>
      </c>
      <c r="DA11" s="33">
        <f t="shared" si="166"/>
        <v>-0.13204385777643446</v>
      </c>
      <c r="DB11" s="53">
        <f t="shared" si="167"/>
        <v>0</v>
      </c>
      <c r="DC11" s="132">
        <f t="shared" si="168"/>
        <v>0</v>
      </c>
      <c r="DD11" s="76" t="s">
        <v>8</v>
      </c>
      <c r="DE11" s="30" t="s">
        <v>8</v>
      </c>
      <c r="DF11" s="35">
        <f t="shared" si="169"/>
        <v>1.1061414261600044</v>
      </c>
      <c r="DG11" s="33">
        <f t="shared" si="170"/>
        <v>-0.13204385777643446</v>
      </c>
      <c r="DH11" s="53">
        <f t="shared" si="171"/>
        <v>0</v>
      </c>
      <c r="DI11" s="132">
        <f t="shared" si="172"/>
        <v>0</v>
      </c>
      <c r="DJ11" s="76" t="s">
        <v>8</v>
      </c>
      <c r="DK11" s="30" t="s">
        <v>8</v>
      </c>
      <c r="DL11" s="35">
        <f t="shared" si="173"/>
        <v>1.1061414261600044</v>
      </c>
      <c r="DM11" s="51">
        <f t="shared" si="174"/>
        <v>-0.13204385777643446</v>
      </c>
      <c r="DN11" s="53">
        <f t="shared" si="175"/>
        <v>0</v>
      </c>
      <c r="DO11" s="132">
        <f t="shared" si="176"/>
        <v>0</v>
      </c>
      <c r="DP11" s="76" t="s">
        <v>8</v>
      </c>
      <c r="DQ11" s="30" t="s">
        <v>8</v>
      </c>
      <c r="DR11" s="35">
        <f t="shared" si="177"/>
        <v>1.1061414261600044</v>
      </c>
      <c r="DS11" s="51">
        <f t="shared" si="178"/>
        <v>-0.13204385777643446</v>
      </c>
      <c r="DT11" s="53">
        <f t="shared" si="227"/>
        <v>0</v>
      </c>
      <c r="DU11" s="132">
        <f t="shared" si="179"/>
        <v>0</v>
      </c>
      <c r="DV11" s="76" t="s">
        <v>8</v>
      </c>
      <c r="DW11" s="30" t="s">
        <v>8</v>
      </c>
      <c r="DX11" s="35">
        <f t="shared" si="180"/>
        <v>1.1061414261600044</v>
      </c>
      <c r="DY11" s="33">
        <f t="shared" si="181"/>
        <v>-0.13204385777643446</v>
      </c>
      <c r="DZ11" s="34">
        <f t="shared" si="182"/>
        <v>0</v>
      </c>
      <c r="EA11" s="80">
        <f t="shared" si="183"/>
        <v>0</v>
      </c>
      <c r="EB11" s="76" t="s">
        <v>8</v>
      </c>
      <c r="EC11" s="30" t="s">
        <v>8</v>
      </c>
      <c r="ED11" s="35">
        <f t="shared" si="184"/>
        <v>1.1061414261600044</v>
      </c>
      <c r="EE11" s="33">
        <f t="shared" si="185"/>
        <v>-0.13204385777643446</v>
      </c>
      <c r="EF11" s="34">
        <f t="shared" si="186"/>
        <v>0</v>
      </c>
      <c r="EG11" s="80">
        <f t="shared" si="187"/>
        <v>0</v>
      </c>
      <c r="EH11" s="76" t="s">
        <v>8</v>
      </c>
      <c r="EI11" s="30" t="s">
        <v>8</v>
      </c>
      <c r="EJ11" s="35">
        <f t="shared" si="188"/>
        <v>1.1061414261600044</v>
      </c>
      <c r="EK11" s="33">
        <f t="shared" si="189"/>
        <v>-0.13204385777643446</v>
      </c>
      <c r="EL11" s="34">
        <f t="shared" si="190"/>
        <v>0</v>
      </c>
      <c r="EM11" s="80">
        <f t="shared" si="191"/>
        <v>0</v>
      </c>
      <c r="EN11" s="76" t="s">
        <v>8</v>
      </c>
      <c r="EO11" s="30" t="s">
        <v>8</v>
      </c>
      <c r="EP11" s="35">
        <f t="shared" si="192"/>
        <v>1.1061414261600044</v>
      </c>
      <c r="EQ11" s="51">
        <f t="shared" si="193"/>
        <v>-0.13204385777643446</v>
      </c>
      <c r="ER11" s="34">
        <f t="shared" si="194"/>
        <v>0</v>
      </c>
      <c r="ES11" s="80">
        <f t="shared" si="195"/>
        <v>0</v>
      </c>
      <c r="ET11" s="76" t="s">
        <v>8</v>
      </c>
      <c r="EU11" s="30" t="s">
        <v>8</v>
      </c>
      <c r="EV11" s="35">
        <f t="shared" si="196"/>
        <v>1.1061414261600044</v>
      </c>
      <c r="EW11" s="33">
        <f t="shared" si="197"/>
        <v>-0.13204385777643446</v>
      </c>
      <c r="EX11" s="34">
        <f t="shared" si="198"/>
        <v>0</v>
      </c>
      <c r="EY11" s="80">
        <f t="shared" si="199"/>
        <v>0</v>
      </c>
      <c r="EZ11" s="76" t="s">
        <v>8</v>
      </c>
      <c r="FA11" s="30" t="s">
        <v>8</v>
      </c>
      <c r="FB11" s="35">
        <f t="shared" si="200"/>
        <v>1.1061414261600044</v>
      </c>
      <c r="FC11" s="33">
        <f t="shared" si="201"/>
        <v>-0.13204385777643446</v>
      </c>
      <c r="FD11" s="34">
        <f t="shared" si="202"/>
        <v>0</v>
      </c>
      <c r="FE11" s="80">
        <f t="shared" si="203"/>
        <v>0</v>
      </c>
      <c r="FF11" s="76" t="s">
        <v>8</v>
      </c>
      <c r="FG11" s="30" t="s">
        <v>8</v>
      </c>
      <c r="FH11" s="35">
        <f t="shared" si="204"/>
        <v>1.1061414261600044</v>
      </c>
      <c r="FI11" s="33">
        <f t="shared" si="205"/>
        <v>-0.13204385777643446</v>
      </c>
      <c r="FJ11" s="34">
        <f t="shared" si="206"/>
        <v>0</v>
      </c>
      <c r="FK11" s="80">
        <f t="shared" si="207"/>
        <v>0</v>
      </c>
      <c r="FL11" s="76" t="s">
        <v>8</v>
      </c>
      <c r="FM11" s="30" t="s">
        <v>8</v>
      </c>
      <c r="FN11" s="35">
        <f t="shared" si="208"/>
        <v>1.1061414261600044</v>
      </c>
      <c r="FO11" s="33">
        <f t="shared" si="209"/>
        <v>-0.13204385777643446</v>
      </c>
      <c r="FP11" s="34">
        <f t="shared" si="210"/>
        <v>0</v>
      </c>
      <c r="FQ11" s="80">
        <f t="shared" si="211"/>
        <v>0</v>
      </c>
      <c r="FR11" s="76" t="s">
        <v>8</v>
      </c>
      <c r="FS11" s="30" t="s">
        <v>8</v>
      </c>
      <c r="FT11" s="35">
        <f t="shared" si="212"/>
        <v>1.1061414261600044</v>
      </c>
      <c r="FU11" s="33">
        <f t="shared" si="213"/>
        <v>-0.13204385777643446</v>
      </c>
      <c r="FV11" s="34">
        <f t="shared" si="214"/>
        <v>0</v>
      </c>
      <c r="FW11" s="80">
        <f t="shared" si="215"/>
        <v>0</v>
      </c>
      <c r="FX11" s="76" t="s">
        <v>8</v>
      </c>
      <c r="FY11" s="30" t="s">
        <v>8</v>
      </c>
      <c r="FZ11" s="35">
        <f t="shared" si="216"/>
        <v>1.1061414261600044</v>
      </c>
      <c r="GA11" s="33">
        <f t="shared" si="217"/>
        <v>-0.13204385777643446</v>
      </c>
      <c r="GB11" s="34">
        <f t="shared" si="218"/>
        <v>0</v>
      </c>
      <c r="GC11" s="80">
        <f t="shared" si="219"/>
        <v>0</v>
      </c>
      <c r="GD11" s="76" t="s">
        <v>8</v>
      </c>
      <c r="GE11" s="30" t="s">
        <v>8</v>
      </c>
      <c r="GF11" s="35">
        <f t="shared" si="220"/>
        <v>1.1061414261600044</v>
      </c>
      <c r="GG11" s="33">
        <f t="shared" si="221"/>
        <v>-0.13204385777643446</v>
      </c>
      <c r="GH11" s="34">
        <f t="shared" si="222"/>
        <v>0</v>
      </c>
      <c r="GI11" s="132">
        <f t="shared" si="223"/>
        <v>0</v>
      </c>
      <c r="GJ11" s="168">
        <f t="shared" si="228"/>
        <v>610085.93816674186</v>
      </c>
      <c r="GK11" s="104">
        <f t="shared" si="224"/>
        <v>878717.37019579066</v>
      </c>
      <c r="GL11" s="86">
        <f t="shared" si="225"/>
        <v>1.1061414261600044</v>
      </c>
      <c r="GN11" s="214">
        <v>878717.37</v>
      </c>
    </row>
    <row r="12" spans="1:196" s="25" customFormat="1" x14ac:dyDescent="0.25">
      <c r="A12" s="184" t="s">
        <v>176</v>
      </c>
      <c r="B12" s="155" t="s">
        <v>8</v>
      </c>
      <c r="C12" s="155" t="s">
        <v>8</v>
      </c>
      <c r="D12" s="155" t="s">
        <v>8</v>
      </c>
      <c r="E12" s="155" t="s">
        <v>8</v>
      </c>
      <c r="F12" s="155" t="s">
        <v>8</v>
      </c>
      <c r="G12" s="113">
        <f>'Исходные данные 25 г.'!C14</f>
        <v>526</v>
      </c>
      <c r="H12" s="31">
        <f>'Исходные данные 25 г.'!D14</f>
        <v>142590</v>
      </c>
      <c r="I12" s="32">
        <f>'Расчет КРП'!H10</f>
        <v>5.9961293756220142</v>
      </c>
      <c r="J12" s="120" t="s">
        <v>8</v>
      </c>
      <c r="K12" s="124">
        <f t="shared" si="104"/>
        <v>7.4874959040053354E-2</v>
      </c>
      <c r="L12" s="77">
        <f t="shared" si="105"/>
        <v>639367.11876597139</v>
      </c>
      <c r="M12" s="73">
        <f t="shared" si="106"/>
        <v>0.41061089304074794</v>
      </c>
      <c r="N12" s="30" t="s">
        <v>8</v>
      </c>
      <c r="O12" s="33">
        <f t="shared" si="107"/>
        <v>9.7716998870464811E-2</v>
      </c>
      <c r="P12" s="34">
        <f t="shared" si="226"/>
        <v>560710.20055975986</v>
      </c>
      <c r="Q12" s="80">
        <f t="shared" si="108"/>
        <v>560710.20055975986</v>
      </c>
      <c r="R12" s="160" t="s">
        <v>8</v>
      </c>
      <c r="S12" s="30" t="s">
        <v>8</v>
      </c>
      <c r="T12" s="35">
        <f t="shared" si="109"/>
        <v>0.70504355522078943</v>
      </c>
      <c r="U12" s="33">
        <f t="shared" si="110"/>
        <v>2.2425266521246545E-2</v>
      </c>
      <c r="V12" s="53">
        <f t="shared" si="111"/>
        <v>155020.57137680621</v>
      </c>
      <c r="W12" s="80">
        <f t="shared" si="112"/>
        <v>155020.57137680621</v>
      </c>
      <c r="X12" s="76" t="s">
        <v>8</v>
      </c>
      <c r="Y12" s="30" t="s">
        <v>8</v>
      </c>
      <c r="Z12" s="35">
        <f t="shared" si="113"/>
        <v>0.78644589011246513</v>
      </c>
      <c r="AA12" s="33">
        <f t="shared" si="114"/>
        <v>5.705946404460982E-2</v>
      </c>
      <c r="AB12" s="53">
        <f t="shared" si="115"/>
        <v>480574.32293037348</v>
      </c>
      <c r="AC12" s="80">
        <f t="shared" si="116"/>
        <v>480574.32293037348</v>
      </c>
      <c r="AD12" s="76" t="s">
        <v>8</v>
      </c>
      <c r="AE12" s="30" t="s">
        <v>8</v>
      </c>
      <c r="AF12" s="35">
        <f t="shared" si="117"/>
        <v>1.0387986690248228</v>
      </c>
      <c r="AG12" s="33">
        <f t="shared" si="118"/>
        <v>-9.8532383831732018E-2</v>
      </c>
      <c r="AH12" s="53">
        <f t="shared" si="119"/>
        <v>0</v>
      </c>
      <c r="AI12" s="80">
        <f t="shared" si="120"/>
        <v>0</v>
      </c>
      <c r="AJ12" s="76" t="s">
        <v>8</v>
      </c>
      <c r="AK12" s="30" t="s">
        <v>8</v>
      </c>
      <c r="AL12" s="35">
        <f t="shared" si="121"/>
        <v>1.0387986690248228</v>
      </c>
      <c r="AM12" s="33">
        <f t="shared" si="122"/>
        <v>-6.4701100641252784E-2</v>
      </c>
      <c r="AN12" s="53">
        <f t="shared" si="123"/>
        <v>0</v>
      </c>
      <c r="AO12" s="80">
        <f t="shared" si="124"/>
        <v>0</v>
      </c>
      <c r="AP12" s="76" t="s">
        <v>8</v>
      </c>
      <c r="AQ12" s="30" t="s">
        <v>8</v>
      </c>
      <c r="AR12" s="35">
        <f t="shared" si="125"/>
        <v>1.0387986690248228</v>
      </c>
      <c r="AS12" s="33">
        <f t="shared" si="126"/>
        <v>-6.4701100641252784E-2</v>
      </c>
      <c r="AT12" s="53">
        <f t="shared" si="127"/>
        <v>0</v>
      </c>
      <c r="AU12" s="80">
        <f t="shared" si="128"/>
        <v>0</v>
      </c>
      <c r="AV12" s="76" t="s">
        <v>8</v>
      </c>
      <c r="AW12" s="30" t="s">
        <v>8</v>
      </c>
      <c r="AX12" s="35">
        <f t="shared" si="129"/>
        <v>1.0387986690248228</v>
      </c>
      <c r="AY12" s="33">
        <f t="shared" si="130"/>
        <v>-6.4701100641252784E-2</v>
      </c>
      <c r="AZ12" s="53">
        <f t="shared" si="131"/>
        <v>0</v>
      </c>
      <c r="BA12" s="80">
        <f t="shared" si="132"/>
        <v>0</v>
      </c>
      <c r="BB12" s="76" t="s">
        <v>8</v>
      </c>
      <c r="BC12" s="30" t="s">
        <v>8</v>
      </c>
      <c r="BD12" s="35">
        <f t="shared" si="133"/>
        <v>1.0387986690248228</v>
      </c>
      <c r="BE12" s="33">
        <f t="shared" si="134"/>
        <v>-6.4701100641252784E-2</v>
      </c>
      <c r="BF12" s="53">
        <f t="shared" si="135"/>
        <v>0</v>
      </c>
      <c r="BG12" s="80">
        <f t="shared" si="136"/>
        <v>0</v>
      </c>
      <c r="BH12" s="76" t="s">
        <v>8</v>
      </c>
      <c r="BI12" s="30" t="s">
        <v>8</v>
      </c>
      <c r="BJ12" s="35">
        <f t="shared" si="137"/>
        <v>1.0387986690248228</v>
      </c>
      <c r="BK12" s="33">
        <f t="shared" si="138"/>
        <v>-6.4701100641252784E-2</v>
      </c>
      <c r="BL12" s="53">
        <f t="shared" si="139"/>
        <v>0</v>
      </c>
      <c r="BM12" s="80">
        <f t="shared" si="140"/>
        <v>0</v>
      </c>
      <c r="BN12" s="76" t="s">
        <v>8</v>
      </c>
      <c r="BO12" s="30" t="s">
        <v>8</v>
      </c>
      <c r="BP12" s="35">
        <f t="shared" si="141"/>
        <v>1.0387986690248228</v>
      </c>
      <c r="BQ12" s="33">
        <f t="shared" si="142"/>
        <v>-6.4701100641252784E-2</v>
      </c>
      <c r="BR12" s="53">
        <f t="shared" si="143"/>
        <v>0</v>
      </c>
      <c r="BS12" s="132">
        <f t="shared" si="144"/>
        <v>0</v>
      </c>
      <c r="BT12" s="76" t="s">
        <v>8</v>
      </c>
      <c r="BU12" s="30" t="s">
        <v>8</v>
      </c>
      <c r="BV12" s="35">
        <f t="shared" si="145"/>
        <v>1.0387986690248228</v>
      </c>
      <c r="BW12" s="33">
        <f t="shared" si="146"/>
        <v>-6.4701100641252784E-2</v>
      </c>
      <c r="BX12" s="53">
        <f t="shared" si="147"/>
        <v>0</v>
      </c>
      <c r="BY12" s="132">
        <f t="shared" si="148"/>
        <v>0</v>
      </c>
      <c r="BZ12" s="76" t="s">
        <v>8</v>
      </c>
      <c r="CA12" s="30" t="s">
        <v>8</v>
      </c>
      <c r="CB12" s="35">
        <f t="shared" si="149"/>
        <v>1.0387986690248228</v>
      </c>
      <c r="CC12" s="33">
        <f t="shared" si="150"/>
        <v>-6.4701100641252784E-2</v>
      </c>
      <c r="CD12" s="53">
        <f t="shared" si="151"/>
        <v>0</v>
      </c>
      <c r="CE12" s="132">
        <f t="shared" si="152"/>
        <v>0</v>
      </c>
      <c r="CF12" s="76" t="s">
        <v>8</v>
      </c>
      <c r="CG12" s="30" t="s">
        <v>8</v>
      </c>
      <c r="CH12" s="35">
        <f t="shared" si="153"/>
        <v>1.0387986690248228</v>
      </c>
      <c r="CI12" s="33">
        <f t="shared" si="154"/>
        <v>-6.4701100641252784E-2</v>
      </c>
      <c r="CJ12" s="53">
        <f t="shared" si="155"/>
        <v>0</v>
      </c>
      <c r="CK12" s="132">
        <f t="shared" si="156"/>
        <v>0</v>
      </c>
      <c r="CL12" s="76" t="s">
        <v>8</v>
      </c>
      <c r="CM12" s="30" t="s">
        <v>8</v>
      </c>
      <c r="CN12" s="35">
        <f t="shared" si="157"/>
        <v>1.0387986690248228</v>
      </c>
      <c r="CO12" s="33">
        <f t="shared" si="158"/>
        <v>-6.4701100641252784E-2</v>
      </c>
      <c r="CP12" s="53">
        <f t="shared" si="159"/>
        <v>0</v>
      </c>
      <c r="CQ12" s="132">
        <f t="shared" si="160"/>
        <v>0</v>
      </c>
      <c r="CR12" s="76" t="s">
        <v>8</v>
      </c>
      <c r="CS12" s="30" t="s">
        <v>8</v>
      </c>
      <c r="CT12" s="35">
        <f t="shared" si="161"/>
        <v>1.0387986690248228</v>
      </c>
      <c r="CU12" s="33">
        <f t="shared" si="162"/>
        <v>-6.4701100641252784E-2</v>
      </c>
      <c r="CV12" s="53">
        <f t="shared" si="163"/>
        <v>0</v>
      </c>
      <c r="CW12" s="132">
        <f t="shared" si="164"/>
        <v>0</v>
      </c>
      <c r="CX12" s="76" t="s">
        <v>8</v>
      </c>
      <c r="CY12" s="30" t="s">
        <v>8</v>
      </c>
      <c r="CZ12" s="35">
        <f t="shared" si="165"/>
        <v>1.0387986690248228</v>
      </c>
      <c r="DA12" s="33">
        <f t="shared" si="166"/>
        <v>-6.4701100641252784E-2</v>
      </c>
      <c r="DB12" s="53">
        <f t="shared" si="167"/>
        <v>0</v>
      </c>
      <c r="DC12" s="132">
        <f t="shared" si="168"/>
        <v>0</v>
      </c>
      <c r="DD12" s="76" t="s">
        <v>8</v>
      </c>
      <c r="DE12" s="30" t="s">
        <v>8</v>
      </c>
      <c r="DF12" s="35">
        <f t="shared" si="169"/>
        <v>1.0387986690248228</v>
      </c>
      <c r="DG12" s="33">
        <f t="shared" si="170"/>
        <v>-6.4701100641252784E-2</v>
      </c>
      <c r="DH12" s="53">
        <f t="shared" si="171"/>
        <v>0</v>
      </c>
      <c r="DI12" s="132">
        <f t="shared" si="172"/>
        <v>0</v>
      </c>
      <c r="DJ12" s="76" t="s">
        <v>8</v>
      </c>
      <c r="DK12" s="30" t="s">
        <v>8</v>
      </c>
      <c r="DL12" s="35">
        <f t="shared" si="173"/>
        <v>1.0387986690248228</v>
      </c>
      <c r="DM12" s="51">
        <f t="shared" si="174"/>
        <v>-6.4701100641252784E-2</v>
      </c>
      <c r="DN12" s="53">
        <f t="shared" si="175"/>
        <v>0</v>
      </c>
      <c r="DO12" s="132">
        <f t="shared" si="176"/>
        <v>0</v>
      </c>
      <c r="DP12" s="76" t="s">
        <v>8</v>
      </c>
      <c r="DQ12" s="30" t="s">
        <v>8</v>
      </c>
      <c r="DR12" s="35">
        <f t="shared" si="177"/>
        <v>1.0387986690248228</v>
      </c>
      <c r="DS12" s="51">
        <f t="shared" si="178"/>
        <v>-6.4701100641252784E-2</v>
      </c>
      <c r="DT12" s="53">
        <f t="shared" si="227"/>
        <v>0</v>
      </c>
      <c r="DU12" s="132">
        <f t="shared" si="179"/>
        <v>0</v>
      </c>
      <c r="DV12" s="76" t="s">
        <v>8</v>
      </c>
      <c r="DW12" s="30" t="s">
        <v>8</v>
      </c>
      <c r="DX12" s="35">
        <f t="shared" si="180"/>
        <v>1.0387986690248228</v>
      </c>
      <c r="DY12" s="33">
        <f t="shared" si="181"/>
        <v>-6.4701100641252784E-2</v>
      </c>
      <c r="DZ12" s="34">
        <f t="shared" si="182"/>
        <v>0</v>
      </c>
      <c r="EA12" s="80">
        <f t="shared" si="183"/>
        <v>0</v>
      </c>
      <c r="EB12" s="76" t="s">
        <v>8</v>
      </c>
      <c r="EC12" s="30" t="s">
        <v>8</v>
      </c>
      <c r="ED12" s="35">
        <f t="shared" si="184"/>
        <v>1.0387986690248228</v>
      </c>
      <c r="EE12" s="33">
        <f t="shared" si="185"/>
        <v>-6.4701100641252784E-2</v>
      </c>
      <c r="EF12" s="34">
        <f t="shared" si="186"/>
        <v>0</v>
      </c>
      <c r="EG12" s="80">
        <f t="shared" si="187"/>
        <v>0</v>
      </c>
      <c r="EH12" s="76" t="s">
        <v>8</v>
      </c>
      <c r="EI12" s="30" t="s">
        <v>8</v>
      </c>
      <c r="EJ12" s="35">
        <f t="shared" si="188"/>
        <v>1.0387986690248228</v>
      </c>
      <c r="EK12" s="33">
        <f t="shared" si="189"/>
        <v>-6.4701100641252784E-2</v>
      </c>
      <c r="EL12" s="34">
        <f t="shared" si="190"/>
        <v>0</v>
      </c>
      <c r="EM12" s="80">
        <f t="shared" si="191"/>
        <v>0</v>
      </c>
      <c r="EN12" s="76" t="s">
        <v>8</v>
      </c>
      <c r="EO12" s="30" t="s">
        <v>8</v>
      </c>
      <c r="EP12" s="35">
        <f t="shared" si="192"/>
        <v>1.0387986690248228</v>
      </c>
      <c r="EQ12" s="51">
        <f t="shared" si="193"/>
        <v>-6.4701100641252784E-2</v>
      </c>
      <c r="ER12" s="34">
        <f t="shared" si="194"/>
        <v>0</v>
      </c>
      <c r="ES12" s="80">
        <f t="shared" si="195"/>
        <v>0</v>
      </c>
      <c r="ET12" s="76" t="s">
        <v>8</v>
      </c>
      <c r="EU12" s="30" t="s">
        <v>8</v>
      </c>
      <c r="EV12" s="35">
        <f t="shared" si="196"/>
        <v>1.0387986690248228</v>
      </c>
      <c r="EW12" s="33">
        <f t="shared" si="197"/>
        <v>-6.4701100641252784E-2</v>
      </c>
      <c r="EX12" s="34">
        <f t="shared" si="198"/>
        <v>0</v>
      </c>
      <c r="EY12" s="80">
        <f t="shared" si="199"/>
        <v>0</v>
      </c>
      <c r="EZ12" s="76" t="s">
        <v>8</v>
      </c>
      <c r="FA12" s="30" t="s">
        <v>8</v>
      </c>
      <c r="FB12" s="35">
        <f t="shared" si="200"/>
        <v>1.0387986690248228</v>
      </c>
      <c r="FC12" s="33">
        <f t="shared" si="201"/>
        <v>-6.4701100641252784E-2</v>
      </c>
      <c r="FD12" s="34">
        <f t="shared" si="202"/>
        <v>0</v>
      </c>
      <c r="FE12" s="80">
        <f t="shared" si="203"/>
        <v>0</v>
      </c>
      <c r="FF12" s="76" t="s">
        <v>8</v>
      </c>
      <c r="FG12" s="30" t="s">
        <v>8</v>
      </c>
      <c r="FH12" s="35">
        <f t="shared" si="204"/>
        <v>1.0387986690248228</v>
      </c>
      <c r="FI12" s="33">
        <f t="shared" si="205"/>
        <v>-6.4701100641252784E-2</v>
      </c>
      <c r="FJ12" s="34">
        <f t="shared" si="206"/>
        <v>0</v>
      </c>
      <c r="FK12" s="80">
        <f t="shared" si="207"/>
        <v>0</v>
      </c>
      <c r="FL12" s="76" t="s">
        <v>8</v>
      </c>
      <c r="FM12" s="30" t="s">
        <v>8</v>
      </c>
      <c r="FN12" s="35">
        <f t="shared" si="208"/>
        <v>1.0387986690248228</v>
      </c>
      <c r="FO12" s="33">
        <f t="shared" si="209"/>
        <v>-6.4701100641252784E-2</v>
      </c>
      <c r="FP12" s="34">
        <f t="shared" si="210"/>
        <v>0</v>
      </c>
      <c r="FQ12" s="80">
        <f t="shared" si="211"/>
        <v>0</v>
      </c>
      <c r="FR12" s="76" t="s">
        <v>8</v>
      </c>
      <c r="FS12" s="30" t="s">
        <v>8</v>
      </c>
      <c r="FT12" s="35">
        <f t="shared" si="212"/>
        <v>1.0387986690248228</v>
      </c>
      <c r="FU12" s="33">
        <f t="shared" si="213"/>
        <v>-6.4701100641252784E-2</v>
      </c>
      <c r="FV12" s="34">
        <f t="shared" si="214"/>
        <v>0</v>
      </c>
      <c r="FW12" s="80">
        <f t="shared" si="215"/>
        <v>0</v>
      </c>
      <c r="FX12" s="76" t="s">
        <v>8</v>
      </c>
      <c r="FY12" s="30" t="s">
        <v>8</v>
      </c>
      <c r="FZ12" s="35">
        <f t="shared" si="216"/>
        <v>1.0387986690248228</v>
      </c>
      <c r="GA12" s="33">
        <f t="shared" si="217"/>
        <v>-6.4701100641252784E-2</v>
      </c>
      <c r="GB12" s="34">
        <f t="shared" si="218"/>
        <v>0</v>
      </c>
      <c r="GC12" s="80">
        <f t="shared" si="219"/>
        <v>0</v>
      </c>
      <c r="GD12" s="76" t="s">
        <v>8</v>
      </c>
      <c r="GE12" s="30" t="s">
        <v>8</v>
      </c>
      <c r="GF12" s="35">
        <f t="shared" si="220"/>
        <v>1.0387986690248228</v>
      </c>
      <c r="GG12" s="33">
        <f t="shared" si="221"/>
        <v>-6.4701100641252784E-2</v>
      </c>
      <c r="GH12" s="34">
        <f t="shared" si="222"/>
        <v>0</v>
      </c>
      <c r="GI12" s="132">
        <f t="shared" si="223"/>
        <v>0</v>
      </c>
      <c r="GJ12" s="168">
        <f t="shared" si="228"/>
        <v>1196305.0948669396</v>
      </c>
      <c r="GK12" s="104">
        <f t="shared" si="224"/>
        <v>1835672.213632911</v>
      </c>
      <c r="GL12" s="86">
        <f t="shared" si="225"/>
        <v>1.0387986690248228</v>
      </c>
      <c r="GN12" s="214">
        <v>1835672.21</v>
      </c>
    </row>
    <row r="13" spans="1:196" s="25" customFormat="1" ht="15.75" customHeight="1" x14ac:dyDescent="0.25">
      <c r="A13" s="184" t="s">
        <v>177</v>
      </c>
      <c r="B13" s="155" t="s">
        <v>8</v>
      </c>
      <c r="C13" s="155" t="s">
        <v>8</v>
      </c>
      <c r="D13" s="155" t="s">
        <v>8</v>
      </c>
      <c r="E13" s="155" t="s">
        <v>8</v>
      </c>
      <c r="F13" s="155" t="s">
        <v>8</v>
      </c>
      <c r="G13" s="113">
        <f>'Исходные данные 25 г.'!C15</f>
        <v>171</v>
      </c>
      <c r="H13" s="31">
        <f>'Исходные данные 25 г.'!D15</f>
        <v>72740</v>
      </c>
      <c r="I13" s="32">
        <f>'Расчет КРП'!H11</f>
        <v>8.0956912299775894</v>
      </c>
      <c r="J13" s="120" t="s">
        <v>8</v>
      </c>
      <c r="K13" s="124">
        <f t="shared" si="104"/>
        <v>8.7021691020940525E-2</v>
      </c>
      <c r="L13" s="77">
        <f t="shared" si="105"/>
        <v>207855.08994102871</v>
      </c>
      <c r="M13" s="73">
        <f t="shared" si="106"/>
        <v>0.33568681906573022</v>
      </c>
      <c r="N13" s="30" t="s">
        <v>8</v>
      </c>
      <c r="O13" s="33">
        <f t="shared" si="107"/>
        <v>0.17264107284548252</v>
      </c>
      <c r="P13" s="34">
        <f t="shared" si="226"/>
        <v>434816.25386693602</v>
      </c>
      <c r="Q13" s="80">
        <f t="shared" si="108"/>
        <v>434816.25386693602</v>
      </c>
      <c r="R13" s="160" t="s">
        <v>8</v>
      </c>
      <c r="S13" s="30" t="s">
        <v>8</v>
      </c>
      <c r="T13" s="35">
        <f t="shared" si="109"/>
        <v>0.85587441454127811</v>
      </c>
      <c r="U13" s="33">
        <f t="shared" si="110"/>
        <v>-0.12840559279924213</v>
      </c>
      <c r="V13" s="53">
        <f t="shared" si="111"/>
        <v>0</v>
      </c>
      <c r="W13" s="80">
        <f t="shared" si="112"/>
        <v>0</v>
      </c>
      <c r="X13" s="76" t="s">
        <v>8</v>
      </c>
      <c r="Y13" s="30" t="s">
        <v>8</v>
      </c>
      <c r="Z13" s="35">
        <f t="shared" si="113"/>
        <v>0.85587441454127811</v>
      </c>
      <c r="AA13" s="33">
        <f t="shared" si="114"/>
        <v>-1.2369060384203157E-2</v>
      </c>
      <c r="AB13" s="53">
        <f t="shared" si="115"/>
        <v>0</v>
      </c>
      <c r="AC13" s="80">
        <f t="shared" si="116"/>
        <v>0</v>
      </c>
      <c r="AD13" s="76" t="s">
        <v>8</v>
      </c>
      <c r="AE13" s="30" t="s">
        <v>8</v>
      </c>
      <c r="AF13" s="35">
        <f t="shared" si="117"/>
        <v>0.85587441454127811</v>
      </c>
      <c r="AG13" s="33">
        <f t="shared" si="118"/>
        <v>8.4391870651812639E-2</v>
      </c>
      <c r="AH13" s="53">
        <f t="shared" si="119"/>
        <v>331718.43236182968</v>
      </c>
      <c r="AI13" s="80">
        <f t="shared" si="120"/>
        <v>124976.31657057178</v>
      </c>
      <c r="AJ13" s="76" t="s">
        <v>8</v>
      </c>
      <c r="AK13" s="30" t="s">
        <v>8</v>
      </c>
      <c r="AL13" s="35">
        <f t="shared" si="121"/>
        <v>1.0053884426625257</v>
      </c>
      <c r="AM13" s="33">
        <f t="shared" si="122"/>
        <v>-3.1290874278955716E-2</v>
      </c>
      <c r="AN13" s="53">
        <f t="shared" si="123"/>
        <v>0</v>
      </c>
      <c r="AO13" s="80">
        <f t="shared" si="124"/>
        <v>0</v>
      </c>
      <c r="AP13" s="76" t="s">
        <v>8</v>
      </c>
      <c r="AQ13" s="30" t="s">
        <v>8</v>
      </c>
      <c r="AR13" s="35">
        <f t="shared" si="125"/>
        <v>1.0053884426625257</v>
      </c>
      <c r="AS13" s="33">
        <f t="shared" si="126"/>
        <v>-3.1290874278955716E-2</v>
      </c>
      <c r="AT13" s="53">
        <f t="shared" si="127"/>
        <v>0</v>
      </c>
      <c r="AU13" s="80">
        <f t="shared" si="128"/>
        <v>0</v>
      </c>
      <c r="AV13" s="76" t="s">
        <v>8</v>
      </c>
      <c r="AW13" s="30" t="s">
        <v>8</v>
      </c>
      <c r="AX13" s="35">
        <f t="shared" si="129"/>
        <v>1.0053884426625257</v>
      </c>
      <c r="AY13" s="33">
        <f t="shared" si="130"/>
        <v>-3.1290874278955716E-2</v>
      </c>
      <c r="AZ13" s="53">
        <f t="shared" si="131"/>
        <v>0</v>
      </c>
      <c r="BA13" s="80">
        <f t="shared" si="132"/>
        <v>0</v>
      </c>
      <c r="BB13" s="76" t="s">
        <v>8</v>
      </c>
      <c r="BC13" s="30" t="s">
        <v>8</v>
      </c>
      <c r="BD13" s="35">
        <f t="shared" si="133"/>
        <v>1.0053884426625257</v>
      </c>
      <c r="BE13" s="33">
        <f t="shared" si="134"/>
        <v>-3.1290874278955716E-2</v>
      </c>
      <c r="BF13" s="53">
        <f t="shared" si="135"/>
        <v>0</v>
      </c>
      <c r="BG13" s="80">
        <f t="shared" si="136"/>
        <v>0</v>
      </c>
      <c r="BH13" s="76" t="s">
        <v>8</v>
      </c>
      <c r="BI13" s="30" t="s">
        <v>8</v>
      </c>
      <c r="BJ13" s="35">
        <f t="shared" si="137"/>
        <v>1.0053884426625257</v>
      </c>
      <c r="BK13" s="33">
        <f t="shared" si="138"/>
        <v>-3.1290874278955716E-2</v>
      </c>
      <c r="BL13" s="53">
        <f t="shared" si="139"/>
        <v>0</v>
      </c>
      <c r="BM13" s="80">
        <f t="shared" si="140"/>
        <v>0</v>
      </c>
      <c r="BN13" s="76" t="s">
        <v>8</v>
      </c>
      <c r="BO13" s="30" t="s">
        <v>8</v>
      </c>
      <c r="BP13" s="35">
        <f t="shared" si="141"/>
        <v>1.0053884426625257</v>
      </c>
      <c r="BQ13" s="33">
        <f t="shared" si="142"/>
        <v>-3.1290874278955716E-2</v>
      </c>
      <c r="BR13" s="53">
        <f t="shared" si="143"/>
        <v>0</v>
      </c>
      <c r="BS13" s="132">
        <f t="shared" si="144"/>
        <v>0</v>
      </c>
      <c r="BT13" s="76" t="s">
        <v>8</v>
      </c>
      <c r="BU13" s="30" t="s">
        <v>8</v>
      </c>
      <c r="BV13" s="35">
        <f t="shared" si="145"/>
        <v>1.0053884426625257</v>
      </c>
      <c r="BW13" s="33">
        <f t="shared" si="146"/>
        <v>-3.1290874278955716E-2</v>
      </c>
      <c r="BX13" s="53">
        <f t="shared" si="147"/>
        <v>0</v>
      </c>
      <c r="BY13" s="132">
        <f t="shared" si="148"/>
        <v>0</v>
      </c>
      <c r="BZ13" s="76" t="s">
        <v>8</v>
      </c>
      <c r="CA13" s="30" t="s">
        <v>8</v>
      </c>
      <c r="CB13" s="35">
        <f t="shared" si="149"/>
        <v>1.0053884426625257</v>
      </c>
      <c r="CC13" s="33">
        <f t="shared" si="150"/>
        <v>-3.1290874278955716E-2</v>
      </c>
      <c r="CD13" s="53">
        <f t="shared" si="151"/>
        <v>0</v>
      </c>
      <c r="CE13" s="132">
        <f t="shared" si="152"/>
        <v>0</v>
      </c>
      <c r="CF13" s="76" t="s">
        <v>8</v>
      </c>
      <c r="CG13" s="30" t="s">
        <v>8</v>
      </c>
      <c r="CH13" s="35">
        <f t="shared" si="153"/>
        <v>1.0053884426625257</v>
      </c>
      <c r="CI13" s="33">
        <f t="shared" si="154"/>
        <v>-3.1290874278955716E-2</v>
      </c>
      <c r="CJ13" s="53">
        <f t="shared" si="155"/>
        <v>0</v>
      </c>
      <c r="CK13" s="132">
        <f t="shared" si="156"/>
        <v>0</v>
      </c>
      <c r="CL13" s="76" t="s">
        <v>8</v>
      </c>
      <c r="CM13" s="30" t="s">
        <v>8</v>
      </c>
      <c r="CN13" s="35">
        <f t="shared" si="157"/>
        <v>1.0053884426625257</v>
      </c>
      <c r="CO13" s="33">
        <f t="shared" si="158"/>
        <v>-3.1290874278955716E-2</v>
      </c>
      <c r="CP13" s="53">
        <f t="shared" si="159"/>
        <v>0</v>
      </c>
      <c r="CQ13" s="132">
        <f t="shared" si="160"/>
        <v>0</v>
      </c>
      <c r="CR13" s="76" t="s">
        <v>8</v>
      </c>
      <c r="CS13" s="30" t="s">
        <v>8</v>
      </c>
      <c r="CT13" s="35">
        <f t="shared" si="161"/>
        <v>1.0053884426625257</v>
      </c>
      <c r="CU13" s="33">
        <f t="shared" si="162"/>
        <v>-3.1290874278955716E-2</v>
      </c>
      <c r="CV13" s="53">
        <f t="shared" si="163"/>
        <v>0</v>
      </c>
      <c r="CW13" s="132">
        <f t="shared" si="164"/>
        <v>0</v>
      </c>
      <c r="CX13" s="76" t="s">
        <v>8</v>
      </c>
      <c r="CY13" s="30" t="s">
        <v>8</v>
      </c>
      <c r="CZ13" s="35">
        <f t="shared" si="165"/>
        <v>1.0053884426625257</v>
      </c>
      <c r="DA13" s="33">
        <f t="shared" si="166"/>
        <v>-3.1290874278955716E-2</v>
      </c>
      <c r="DB13" s="53">
        <f t="shared" si="167"/>
        <v>0</v>
      </c>
      <c r="DC13" s="132">
        <f t="shared" si="168"/>
        <v>0</v>
      </c>
      <c r="DD13" s="76" t="s">
        <v>8</v>
      </c>
      <c r="DE13" s="30" t="s">
        <v>8</v>
      </c>
      <c r="DF13" s="35">
        <f t="shared" si="169"/>
        <v>1.0053884426625257</v>
      </c>
      <c r="DG13" s="33">
        <f t="shared" si="170"/>
        <v>-3.1290874278955716E-2</v>
      </c>
      <c r="DH13" s="53">
        <f t="shared" si="171"/>
        <v>0</v>
      </c>
      <c r="DI13" s="132">
        <f t="shared" si="172"/>
        <v>0</v>
      </c>
      <c r="DJ13" s="76" t="s">
        <v>8</v>
      </c>
      <c r="DK13" s="30" t="s">
        <v>8</v>
      </c>
      <c r="DL13" s="35">
        <f t="shared" si="173"/>
        <v>1.0053884426625257</v>
      </c>
      <c r="DM13" s="51">
        <f t="shared" si="174"/>
        <v>-3.1290874278955716E-2</v>
      </c>
      <c r="DN13" s="53">
        <f t="shared" si="175"/>
        <v>0</v>
      </c>
      <c r="DO13" s="132">
        <f t="shared" si="176"/>
        <v>0</v>
      </c>
      <c r="DP13" s="76" t="s">
        <v>8</v>
      </c>
      <c r="DQ13" s="30" t="s">
        <v>8</v>
      </c>
      <c r="DR13" s="35">
        <f t="shared" si="177"/>
        <v>1.0053884426625257</v>
      </c>
      <c r="DS13" s="51">
        <f t="shared" si="178"/>
        <v>-3.1290874278955716E-2</v>
      </c>
      <c r="DT13" s="53">
        <f t="shared" si="227"/>
        <v>0</v>
      </c>
      <c r="DU13" s="132">
        <f t="shared" si="179"/>
        <v>0</v>
      </c>
      <c r="DV13" s="76" t="s">
        <v>8</v>
      </c>
      <c r="DW13" s="30" t="s">
        <v>8</v>
      </c>
      <c r="DX13" s="35">
        <f t="shared" si="180"/>
        <v>1.0053884426625257</v>
      </c>
      <c r="DY13" s="33">
        <f t="shared" si="181"/>
        <v>-3.1290874278955716E-2</v>
      </c>
      <c r="DZ13" s="34">
        <f t="shared" si="182"/>
        <v>0</v>
      </c>
      <c r="EA13" s="80">
        <f t="shared" si="183"/>
        <v>0</v>
      </c>
      <c r="EB13" s="76" t="s">
        <v>8</v>
      </c>
      <c r="EC13" s="30" t="s">
        <v>8</v>
      </c>
      <c r="ED13" s="35">
        <f t="shared" si="184"/>
        <v>1.0053884426625257</v>
      </c>
      <c r="EE13" s="33">
        <f t="shared" si="185"/>
        <v>-3.1290874278955716E-2</v>
      </c>
      <c r="EF13" s="34">
        <f t="shared" si="186"/>
        <v>0</v>
      </c>
      <c r="EG13" s="80">
        <f t="shared" si="187"/>
        <v>0</v>
      </c>
      <c r="EH13" s="76" t="s">
        <v>8</v>
      </c>
      <c r="EI13" s="30" t="s">
        <v>8</v>
      </c>
      <c r="EJ13" s="35">
        <f t="shared" si="188"/>
        <v>1.0053884426625257</v>
      </c>
      <c r="EK13" s="33">
        <f t="shared" si="189"/>
        <v>-3.1290874278955716E-2</v>
      </c>
      <c r="EL13" s="34">
        <f t="shared" si="190"/>
        <v>0</v>
      </c>
      <c r="EM13" s="80">
        <f t="shared" si="191"/>
        <v>0</v>
      </c>
      <c r="EN13" s="76" t="s">
        <v>8</v>
      </c>
      <c r="EO13" s="30" t="s">
        <v>8</v>
      </c>
      <c r="EP13" s="35">
        <f t="shared" si="192"/>
        <v>1.0053884426625257</v>
      </c>
      <c r="EQ13" s="51">
        <f t="shared" si="193"/>
        <v>-3.1290874278955716E-2</v>
      </c>
      <c r="ER13" s="34">
        <f t="shared" si="194"/>
        <v>0</v>
      </c>
      <c r="ES13" s="80">
        <f t="shared" si="195"/>
        <v>0</v>
      </c>
      <c r="ET13" s="76" t="s">
        <v>8</v>
      </c>
      <c r="EU13" s="30" t="s">
        <v>8</v>
      </c>
      <c r="EV13" s="35">
        <f t="shared" si="196"/>
        <v>1.0053884426625257</v>
      </c>
      <c r="EW13" s="33">
        <f t="shared" si="197"/>
        <v>-3.1290874278955716E-2</v>
      </c>
      <c r="EX13" s="34">
        <f t="shared" si="198"/>
        <v>0</v>
      </c>
      <c r="EY13" s="80">
        <f t="shared" si="199"/>
        <v>0</v>
      </c>
      <c r="EZ13" s="76" t="s">
        <v>8</v>
      </c>
      <c r="FA13" s="30" t="s">
        <v>8</v>
      </c>
      <c r="FB13" s="35">
        <f t="shared" si="200"/>
        <v>1.0053884426625257</v>
      </c>
      <c r="FC13" s="33">
        <f t="shared" si="201"/>
        <v>-3.1290874278955716E-2</v>
      </c>
      <c r="FD13" s="34">
        <f t="shared" si="202"/>
        <v>0</v>
      </c>
      <c r="FE13" s="80">
        <f t="shared" si="203"/>
        <v>0</v>
      </c>
      <c r="FF13" s="76" t="s">
        <v>8</v>
      </c>
      <c r="FG13" s="30" t="s">
        <v>8</v>
      </c>
      <c r="FH13" s="35">
        <f t="shared" si="204"/>
        <v>1.0053884426625257</v>
      </c>
      <c r="FI13" s="33">
        <f t="shared" si="205"/>
        <v>-3.1290874278955716E-2</v>
      </c>
      <c r="FJ13" s="34">
        <f t="shared" si="206"/>
        <v>0</v>
      </c>
      <c r="FK13" s="80">
        <f t="shared" si="207"/>
        <v>0</v>
      </c>
      <c r="FL13" s="76" t="s">
        <v>8</v>
      </c>
      <c r="FM13" s="30" t="s">
        <v>8</v>
      </c>
      <c r="FN13" s="35">
        <f t="shared" si="208"/>
        <v>1.0053884426625257</v>
      </c>
      <c r="FO13" s="33">
        <f t="shared" si="209"/>
        <v>-3.1290874278955716E-2</v>
      </c>
      <c r="FP13" s="34">
        <f t="shared" si="210"/>
        <v>0</v>
      </c>
      <c r="FQ13" s="80">
        <f t="shared" si="211"/>
        <v>0</v>
      </c>
      <c r="FR13" s="76" t="s">
        <v>8</v>
      </c>
      <c r="FS13" s="30" t="s">
        <v>8</v>
      </c>
      <c r="FT13" s="35">
        <f t="shared" si="212"/>
        <v>1.0053884426625257</v>
      </c>
      <c r="FU13" s="33">
        <f t="shared" si="213"/>
        <v>-3.1290874278955716E-2</v>
      </c>
      <c r="FV13" s="34">
        <f t="shared" si="214"/>
        <v>0</v>
      </c>
      <c r="FW13" s="80">
        <f t="shared" si="215"/>
        <v>0</v>
      </c>
      <c r="FX13" s="76" t="s">
        <v>8</v>
      </c>
      <c r="FY13" s="30" t="s">
        <v>8</v>
      </c>
      <c r="FZ13" s="35">
        <f t="shared" si="216"/>
        <v>1.0053884426625257</v>
      </c>
      <c r="GA13" s="33">
        <f t="shared" si="217"/>
        <v>-3.1290874278955716E-2</v>
      </c>
      <c r="GB13" s="34">
        <f t="shared" si="218"/>
        <v>0</v>
      </c>
      <c r="GC13" s="80">
        <f t="shared" si="219"/>
        <v>0</v>
      </c>
      <c r="GD13" s="76" t="s">
        <v>8</v>
      </c>
      <c r="GE13" s="30" t="s">
        <v>8</v>
      </c>
      <c r="GF13" s="35">
        <f t="shared" si="220"/>
        <v>1.0053884426625257</v>
      </c>
      <c r="GG13" s="33">
        <f t="shared" si="221"/>
        <v>-3.1290874278955716E-2</v>
      </c>
      <c r="GH13" s="34">
        <f t="shared" si="222"/>
        <v>0</v>
      </c>
      <c r="GI13" s="132">
        <f t="shared" si="223"/>
        <v>0</v>
      </c>
      <c r="GJ13" s="168">
        <f t="shared" si="228"/>
        <v>559792.57043750782</v>
      </c>
      <c r="GK13" s="104">
        <f t="shared" si="224"/>
        <v>767647.66037853656</v>
      </c>
      <c r="GL13" s="86">
        <f t="shared" si="225"/>
        <v>1.0053884426625255</v>
      </c>
      <c r="GN13" s="214">
        <v>767647.66</v>
      </c>
    </row>
    <row r="14" spans="1:196" s="25" customFormat="1" x14ac:dyDescent="0.25">
      <c r="A14" s="184" t="s">
        <v>178</v>
      </c>
      <c r="B14" s="155" t="s">
        <v>8</v>
      </c>
      <c r="C14" s="155" t="s">
        <v>8</v>
      </c>
      <c r="D14" s="155" t="s">
        <v>8</v>
      </c>
      <c r="E14" s="155" t="s">
        <v>8</v>
      </c>
      <c r="F14" s="155" t="s">
        <v>8</v>
      </c>
      <c r="G14" s="113">
        <f>'Исходные данные 25 г.'!C16</f>
        <v>98</v>
      </c>
      <c r="H14" s="31">
        <f>'Исходные данные 25 г.'!D16</f>
        <v>55210</v>
      </c>
      <c r="I14" s="32">
        <f>'Расчет КРП'!H12</f>
        <v>7.2978341638888917</v>
      </c>
      <c r="J14" s="120" t="s">
        <v>8</v>
      </c>
      <c r="K14" s="124">
        <f t="shared" si="104"/>
        <v>0.1278503581676621</v>
      </c>
      <c r="L14" s="77">
        <f t="shared" si="105"/>
        <v>119121.63049251937</v>
      </c>
      <c r="M14" s="73">
        <f t="shared" si="106"/>
        <v>0.40370152867996961</v>
      </c>
      <c r="N14" s="30" t="s">
        <v>8</v>
      </c>
      <c r="O14" s="33">
        <f t="shared" si="107"/>
        <v>0.10462636323124314</v>
      </c>
      <c r="P14" s="34">
        <f t="shared" si="226"/>
        <v>136135.939643522</v>
      </c>
      <c r="Q14" s="80">
        <f t="shared" si="108"/>
        <v>136135.939643522</v>
      </c>
      <c r="R14" s="160" t="s">
        <v>8</v>
      </c>
      <c r="S14" s="30" t="s">
        <v>8</v>
      </c>
      <c r="T14" s="35">
        <f t="shared" si="109"/>
        <v>0.71895290783076693</v>
      </c>
      <c r="U14" s="33">
        <f t="shared" si="110"/>
        <v>8.5159139112690463E-3</v>
      </c>
      <c r="V14" s="53">
        <f t="shared" si="111"/>
        <v>13348.925502570402</v>
      </c>
      <c r="W14" s="80">
        <f t="shared" si="112"/>
        <v>13348.925502570402</v>
      </c>
      <c r="X14" s="76" t="s">
        <v>8</v>
      </c>
      <c r="Y14" s="30" t="s">
        <v>8</v>
      </c>
      <c r="Z14" s="35">
        <f t="shared" si="113"/>
        <v>0.7498651502987449</v>
      </c>
      <c r="AA14" s="33">
        <f t="shared" si="114"/>
        <v>9.3640203858330051E-2</v>
      </c>
      <c r="AB14" s="53">
        <f t="shared" si="115"/>
        <v>178837.48433825135</v>
      </c>
      <c r="AC14" s="80">
        <f t="shared" si="116"/>
        <v>178837.48433825135</v>
      </c>
      <c r="AD14" s="76" t="s">
        <v>8</v>
      </c>
      <c r="AE14" s="30" t="s">
        <v>8</v>
      </c>
      <c r="AF14" s="35">
        <f t="shared" si="117"/>
        <v>1.1640009305278538</v>
      </c>
      <c r="AG14" s="33">
        <f t="shared" si="118"/>
        <v>-0.22373464533476306</v>
      </c>
      <c r="AH14" s="53">
        <f t="shared" si="119"/>
        <v>0</v>
      </c>
      <c r="AI14" s="80">
        <f t="shared" si="120"/>
        <v>0</v>
      </c>
      <c r="AJ14" s="76" t="s">
        <v>8</v>
      </c>
      <c r="AK14" s="30" t="s">
        <v>8</v>
      </c>
      <c r="AL14" s="35">
        <f t="shared" si="121"/>
        <v>1.1640009305278538</v>
      </c>
      <c r="AM14" s="33">
        <f t="shared" si="122"/>
        <v>-0.18990336214428383</v>
      </c>
      <c r="AN14" s="53">
        <f t="shared" si="123"/>
        <v>0</v>
      </c>
      <c r="AO14" s="80">
        <f t="shared" si="124"/>
        <v>0</v>
      </c>
      <c r="AP14" s="76" t="s">
        <v>8</v>
      </c>
      <c r="AQ14" s="30" t="s">
        <v>8</v>
      </c>
      <c r="AR14" s="35">
        <f t="shared" si="125"/>
        <v>1.1640009305278538</v>
      </c>
      <c r="AS14" s="33">
        <f t="shared" si="126"/>
        <v>-0.18990336214428383</v>
      </c>
      <c r="AT14" s="53">
        <f t="shared" si="127"/>
        <v>0</v>
      </c>
      <c r="AU14" s="80">
        <f t="shared" si="128"/>
        <v>0</v>
      </c>
      <c r="AV14" s="76" t="s">
        <v>8</v>
      </c>
      <c r="AW14" s="30" t="s">
        <v>8</v>
      </c>
      <c r="AX14" s="35">
        <f t="shared" si="129"/>
        <v>1.1640009305278538</v>
      </c>
      <c r="AY14" s="33">
        <f t="shared" si="130"/>
        <v>-0.18990336214428383</v>
      </c>
      <c r="AZ14" s="53">
        <f t="shared" si="131"/>
        <v>0</v>
      </c>
      <c r="BA14" s="80">
        <f t="shared" si="132"/>
        <v>0</v>
      </c>
      <c r="BB14" s="76" t="s">
        <v>8</v>
      </c>
      <c r="BC14" s="30" t="s">
        <v>8</v>
      </c>
      <c r="BD14" s="35">
        <f t="shared" si="133"/>
        <v>1.1640009305278538</v>
      </c>
      <c r="BE14" s="33">
        <f t="shared" si="134"/>
        <v>-0.18990336214428383</v>
      </c>
      <c r="BF14" s="53">
        <f t="shared" si="135"/>
        <v>0</v>
      </c>
      <c r="BG14" s="80">
        <f t="shared" si="136"/>
        <v>0</v>
      </c>
      <c r="BH14" s="76" t="s">
        <v>8</v>
      </c>
      <c r="BI14" s="30" t="s">
        <v>8</v>
      </c>
      <c r="BJ14" s="35">
        <f t="shared" si="137"/>
        <v>1.1640009305278538</v>
      </c>
      <c r="BK14" s="33">
        <f t="shared" si="138"/>
        <v>-0.18990336214428383</v>
      </c>
      <c r="BL14" s="53">
        <f t="shared" si="139"/>
        <v>0</v>
      </c>
      <c r="BM14" s="80">
        <f t="shared" si="140"/>
        <v>0</v>
      </c>
      <c r="BN14" s="76" t="s">
        <v>8</v>
      </c>
      <c r="BO14" s="30" t="s">
        <v>8</v>
      </c>
      <c r="BP14" s="35">
        <f t="shared" si="141"/>
        <v>1.1640009305278538</v>
      </c>
      <c r="BQ14" s="33">
        <f t="shared" si="142"/>
        <v>-0.18990336214428383</v>
      </c>
      <c r="BR14" s="53">
        <f t="shared" si="143"/>
        <v>0</v>
      </c>
      <c r="BS14" s="132">
        <f t="shared" si="144"/>
        <v>0</v>
      </c>
      <c r="BT14" s="76" t="s">
        <v>8</v>
      </c>
      <c r="BU14" s="30" t="s">
        <v>8</v>
      </c>
      <c r="BV14" s="35">
        <f t="shared" si="145"/>
        <v>1.1640009305278538</v>
      </c>
      <c r="BW14" s="33">
        <f t="shared" si="146"/>
        <v>-0.18990336214428383</v>
      </c>
      <c r="BX14" s="53">
        <f t="shared" si="147"/>
        <v>0</v>
      </c>
      <c r="BY14" s="132">
        <f t="shared" si="148"/>
        <v>0</v>
      </c>
      <c r="BZ14" s="76" t="s">
        <v>8</v>
      </c>
      <c r="CA14" s="30" t="s">
        <v>8</v>
      </c>
      <c r="CB14" s="35">
        <f t="shared" si="149"/>
        <v>1.1640009305278538</v>
      </c>
      <c r="CC14" s="33">
        <f t="shared" si="150"/>
        <v>-0.18990336214428383</v>
      </c>
      <c r="CD14" s="53">
        <f t="shared" si="151"/>
        <v>0</v>
      </c>
      <c r="CE14" s="132">
        <f t="shared" si="152"/>
        <v>0</v>
      </c>
      <c r="CF14" s="76" t="s">
        <v>8</v>
      </c>
      <c r="CG14" s="30" t="s">
        <v>8</v>
      </c>
      <c r="CH14" s="35">
        <f t="shared" si="153"/>
        <v>1.1640009305278538</v>
      </c>
      <c r="CI14" s="33">
        <f t="shared" si="154"/>
        <v>-0.18990336214428383</v>
      </c>
      <c r="CJ14" s="53">
        <f t="shared" si="155"/>
        <v>0</v>
      </c>
      <c r="CK14" s="132">
        <f t="shared" si="156"/>
        <v>0</v>
      </c>
      <c r="CL14" s="76" t="s">
        <v>8</v>
      </c>
      <c r="CM14" s="30" t="s">
        <v>8</v>
      </c>
      <c r="CN14" s="35">
        <f t="shared" si="157"/>
        <v>1.1640009305278538</v>
      </c>
      <c r="CO14" s="33">
        <f t="shared" si="158"/>
        <v>-0.18990336214428383</v>
      </c>
      <c r="CP14" s="53">
        <f t="shared" si="159"/>
        <v>0</v>
      </c>
      <c r="CQ14" s="132">
        <f t="shared" si="160"/>
        <v>0</v>
      </c>
      <c r="CR14" s="76" t="s">
        <v>8</v>
      </c>
      <c r="CS14" s="30" t="s">
        <v>8</v>
      </c>
      <c r="CT14" s="35">
        <f t="shared" si="161"/>
        <v>1.1640009305278538</v>
      </c>
      <c r="CU14" s="33">
        <f t="shared" si="162"/>
        <v>-0.18990336214428383</v>
      </c>
      <c r="CV14" s="53">
        <f t="shared" si="163"/>
        <v>0</v>
      </c>
      <c r="CW14" s="132">
        <f t="shared" si="164"/>
        <v>0</v>
      </c>
      <c r="CX14" s="76" t="s">
        <v>8</v>
      </c>
      <c r="CY14" s="30" t="s">
        <v>8</v>
      </c>
      <c r="CZ14" s="35">
        <f t="shared" si="165"/>
        <v>1.1640009305278538</v>
      </c>
      <c r="DA14" s="33">
        <f t="shared" si="166"/>
        <v>-0.18990336214428383</v>
      </c>
      <c r="DB14" s="53">
        <f t="shared" si="167"/>
        <v>0</v>
      </c>
      <c r="DC14" s="132">
        <f t="shared" si="168"/>
        <v>0</v>
      </c>
      <c r="DD14" s="76" t="s">
        <v>8</v>
      </c>
      <c r="DE14" s="30" t="s">
        <v>8</v>
      </c>
      <c r="DF14" s="35">
        <f t="shared" si="169"/>
        <v>1.1640009305278538</v>
      </c>
      <c r="DG14" s="33">
        <f t="shared" si="170"/>
        <v>-0.18990336214428383</v>
      </c>
      <c r="DH14" s="53">
        <f t="shared" si="171"/>
        <v>0</v>
      </c>
      <c r="DI14" s="132">
        <f t="shared" si="172"/>
        <v>0</v>
      </c>
      <c r="DJ14" s="76" t="s">
        <v>8</v>
      </c>
      <c r="DK14" s="30" t="s">
        <v>8</v>
      </c>
      <c r="DL14" s="35">
        <f t="shared" si="173"/>
        <v>1.1640009305278538</v>
      </c>
      <c r="DM14" s="51">
        <f t="shared" si="174"/>
        <v>-0.18990336214428383</v>
      </c>
      <c r="DN14" s="53">
        <f t="shared" si="175"/>
        <v>0</v>
      </c>
      <c r="DO14" s="132">
        <f t="shared" si="176"/>
        <v>0</v>
      </c>
      <c r="DP14" s="76" t="s">
        <v>8</v>
      </c>
      <c r="DQ14" s="30" t="s">
        <v>8</v>
      </c>
      <c r="DR14" s="35">
        <f t="shared" si="177"/>
        <v>1.1640009305278538</v>
      </c>
      <c r="DS14" s="51">
        <f t="shared" si="178"/>
        <v>-0.18990336214428383</v>
      </c>
      <c r="DT14" s="53">
        <f t="shared" si="227"/>
        <v>0</v>
      </c>
      <c r="DU14" s="132">
        <f t="shared" si="179"/>
        <v>0</v>
      </c>
      <c r="DV14" s="76" t="s">
        <v>8</v>
      </c>
      <c r="DW14" s="30" t="s">
        <v>8</v>
      </c>
      <c r="DX14" s="35">
        <f t="shared" si="180"/>
        <v>1.1640009305278538</v>
      </c>
      <c r="DY14" s="33">
        <f t="shared" si="181"/>
        <v>-0.18990336214428383</v>
      </c>
      <c r="DZ14" s="34">
        <f t="shared" si="182"/>
        <v>0</v>
      </c>
      <c r="EA14" s="80">
        <f t="shared" si="183"/>
        <v>0</v>
      </c>
      <c r="EB14" s="76" t="s">
        <v>8</v>
      </c>
      <c r="EC14" s="30" t="s">
        <v>8</v>
      </c>
      <c r="ED14" s="35">
        <f t="shared" si="184"/>
        <v>1.1640009305278538</v>
      </c>
      <c r="EE14" s="33">
        <f t="shared" si="185"/>
        <v>-0.18990336214428383</v>
      </c>
      <c r="EF14" s="34">
        <f t="shared" si="186"/>
        <v>0</v>
      </c>
      <c r="EG14" s="80">
        <f t="shared" si="187"/>
        <v>0</v>
      </c>
      <c r="EH14" s="76" t="s">
        <v>8</v>
      </c>
      <c r="EI14" s="30" t="s">
        <v>8</v>
      </c>
      <c r="EJ14" s="35">
        <f t="shared" si="188"/>
        <v>1.1640009305278538</v>
      </c>
      <c r="EK14" s="33">
        <f t="shared" si="189"/>
        <v>-0.18990336214428383</v>
      </c>
      <c r="EL14" s="34">
        <f t="shared" si="190"/>
        <v>0</v>
      </c>
      <c r="EM14" s="80">
        <f t="shared" si="191"/>
        <v>0</v>
      </c>
      <c r="EN14" s="76" t="s">
        <v>8</v>
      </c>
      <c r="EO14" s="30" t="s">
        <v>8</v>
      </c>
      <c r="EP14" s="35">
        <f t="shared" si="192"/>
        <v>1.1640009305278538</v>
      </c>
      <c r="EQ14" s="51">
        <f t="shared" si="193"/>
        <v>-0.18990336214428383</v>
      </c>
      <c r="ER14" s="34">
        <f t="shared" si="194"/>
        <v>0</v>
      </c>
      <c r="ES14" s="80">
        <f t="shared" si="195"/>
        <v>0</v>
      </c>
      <c r="ET14" s="76" t="s">
        <v>8</v>
      </c>
      <c r="EU14" s="30" t="s">
        <v>8</v>
      </c>
      <c r="EV14" s="35">
        <f t="shared" si="196"/>
        <v>1.1640009305278538</v>
      </c>
      <c r="EW14" s="33">
        <f t="shared" si="197"/>
        <v>-0.18990336214428383</v>
      </c>
      <c r="EX14" s="34">
        <f t="shared" si="198"/>
        <v>0</v>
      </c>
      <c r="EY14" s="80">
        <f t="shared" si="199"/>
        <v>0</v>
      </c>
      <c r="EZ14" s="76" t="s">
        <v>8</v>
      </c>
      <c r="FA14" s="30" t="s">
        <v>8</v>
      </c>
      <c r="FB14" s="35">
        <f t="shared" si="200"/>
        <v>1.1640009305278538</v>
      </c>
      <c r="FC14" s="33">
        <f t="shared" si="201"/>
        <v>-0.18990336214428383</v>
      </c>
      <c r="FD14" s="34">
        <f t="shared" si="202"/>
        <v>0</v>
      </c>
      <c r="FE14" s="80">
        <f t="shared" si="203"/>
        <v>0</v>
      </c>
      <c r="FF14" s="76" t="s">
        <v>8</v>
      </c>
      <c r="FG14" s="30" t="s">
        <v>8</v>
      </c>
      <c r="FH14" s="35">
        <f t="shared" si="204"/>
        <v>1.1640009305278538</v>
      </c>
      <c r="FI14" s="33">
        <f t="shared" si="205"/>
        <v>-0.18990336214428383</v>
      </c>
      <c r="FJ14" s="34">
        <f t="shared" si="206"/>
        <v>0</v>
      </c>
      <c r="FK14" s="80">
        <f t="shared" si="207"/>
        <v>0</v>
      </c>
      <c r="FL14" s="76" t="s">
        <v>8</v>
      </c>
      <c r="FM14" s="30" t="s">
        <v>8</v>
      </c>
      <c r="FN14" s="35">
        <f t="shared" si="208"/>
        <v>1.1640009305278538</v>
      </c>
      <c r="FO14" s="33">
        <f t="shared" si="209"/>
        <v>-0.18990336214428383</v>
      </c>
      <c r="FP14" s="34">
        <f t="shared" si="210"/>
        <v>0</v>
      </c>
      <c r="FQ14" s="80">
        <f t="shared" si="211"/>
        <v>0</v>
      </c>
      <c r="FR14" s="76" t="s">
        <v>8</v>
      </c>
      <c r="FS14" s="30" t="s">
        <v>8</v>
      </c>
      <c r="FT14" s="35">
        <f t="shared" si="212"/>
        <v>1.1640009305278538</v>
      </c>
      <c r="FU14" s="33">
        <f t="shared" si="213"/>
        <v>-0.18990336214428383</v>
      </c>
      <c r="FV14" s="34">
        <f t="shared" si="214"/>
        <v>0</v>
      </c>
      <c r="FW14" s="80">
        <f t="shared" si="215"/>
        <v>0</v>
      </c>
      <c r="FX14" s="76" t="s">
        <v>8</v>
      </c>
      <c r="FY14" s="30" t="s">
        <v>8</v>
      </c>
      <c r="FZ14" s="35">
        <f t="shared" si="216"/>
        <v>1.1640009305278538</v>
      </c>
      <c r="GA14" s="33">
        <f t="shared" si="217"/>
        <v>-0.18990336214428383</v>
      </c>
      <c r="GB14" s="34">
        <f t="shared" si="218"/>
        <v>0</v>
      </c>
      <c r="GC14" s="80">
        <f t="shared" si="219"/>
        <v>0</v>
      </c>
      <c r="GD14" s="76" t="s">
        <v>8</v>
      </c>
      <c r="GE14" s="30" t="s">
        <v>8</v>
      </c>
      <c r="GF14" s="35">
        <f t="shared" si="220"/>
        <v>1.1640009305278538</v>
      </c>
      <c r="GG14" s="33">
        <f t="shared" si="221"/>
        <v>-0.18990336214428383</v>
      </c>
      <c r="GH14" s="34">
        <f t="shared" si="222"/>
        <v>0</v>
      </c>
      <c r="GI14" s="132">
        <f t="shared" si="223"/>
        <v>0</v>
      </c>
      <c r="GJ14" s="168">
        <f t="shared" si="228"/>
        <v>328322.34948434378</v>
      </c>
      <c r="GK14" s="104">
        <f t="shared" si="224"/>
        <v>447443.97997686313</v>
      </c>
      <c r="GL14" s="86">
        <f t="shared" si="225"/>
        <v>1.1640009305278536</v>
      </c>
      <c r="GN14" s="214">
        <v>447443.98</v>
      </c>
    </row>
    <row r="15" spans="1:196" s="25" customFormat="1" x14ac:dyDescent="0.25">
      <c r="A15" s="184" t="s">
        <v>179</v>
      </c>
      <c r="B15" s="155" t="s">
        <v>8</v>
      </c>
      <c r="C15" s="155" t="s">
        <v>8</v>
      </c>
      <c r="D15" s="155" t="s">
        <v>8</v>
      </c>
      <c r="E15" s="155" t="s">
        <v>8</v>
      </c>
      <c r="F15" s="155" t="s">
        <v>8</v>
      </c>
      <c r="G15" s="113">
        <f>'Исходные данные 25 г.'!C17</f>
        <v>375</v>
      </c>
      <c r="H15" s="31">
        <f>'Исходные данные 25 г.'!D17</f>
        <v>245580</v>
      </c>
      <c r="I15" s="32">
        <f>'Расчет КРП'!H13</f>
        <v>4.976362696709395</v>
      </c>
      <c r="J15" s="120" t="s">
        <v>8</v>
      </c>
      <c r="K15" s="124">
        <f t="shared" si="104"/>
        <v>0.21794854255525536</v>
      </c>
      <c r="L15" s="77">
        <f t="shared" si="105"/>
        <v>455822.56566015066</v>
      </c>
      <c r="M15" s="73">
        <f t="shared" si="106"/>
        <v>0.62248418816738593</v>
      </c>
      <c r="N15" s="30" t="s">
        <v>8</v>
      </c>
      <c r="O15" s="33">
        <f t="shared" si="107"/>
        <v>-0.11415629625617318</v>
      </c>
      <c r="P15" s="34">
        <f t="shared" si="226"/>
        <v>0</v>
      </c>
      <c r="Q15" s="80">
        <f t="shared" si="108"/>
        <v>0</v>
      </c>
      <c r="R15" s="160" t="s">
        <v>8</v>
      </c>
      <c r="S15" s="30" t="s">
        <v>8</v>
      </c>
      <c r="T15" s="35">
        <f t="shared" si="109"/>
        <v>0.62248418816738593</v>
      </c>
      <c r="U15" s="33">
        <f t="shared" si="110"/>
        <v>0.10498463357465004</v>
      </c>
      <c r="V15" s="53">
        <f t="shared" si="111"/>
        <v>429401.94910073787</v>
      </c>
      <c r="W15" s="80">
        <f t="shared" si="112"/>
        <v>429401.94910073787</v>
      </c>
      <c r="X15" s="76" t="s">
        <v>8</v>
      </c>
      <c r="Y15" s="30" t="s">
        <v>8</v>
      </c>
      <c r="Z15" s="35">
        <f t="shared" si="113"/>
        <v>1.003571935446854</v>
      </c>
      <c r="AA15" s="33">
        <f t="shared" si="114"/>
        <v>-0.16006658128977902</v>
      </c>
      <c r="AB15" s="53">
        <f t="shared" si="115"/>
        <v>0</v>
      </c>
      <c r="AC15" s="80">
        <f t="shared" si="116"/>
        <v>0</v>
      </c>
      <c r="AD15" s="76" t="s">
        <v>8</v>
      </c>
      <c r="AE15" s="30" t="s">
        <v>8</v>
      </c>
      <c r="AF15" s="35">
        <f t="shared" si="117"/>
        <v>1.003571935446854</v>
      </c>
      <c r="AG15" s="33">
        <f t="shared" si="118"/>
        <v>-6.3305650253763224E-2</v>
      </c>
      <c r="AH15" s="53">
        <f t="shared" si="119"/>
        <v>0</v>
      </c>
      <c r="AI15" s="80">
        <f t="shared" si="120"/>
        <v>0</v>
      </c>
      <c r="AJ15" s="76" t="s">
        <v>8</v>
      </c>
      <c r="AK15" s="30" t="s">
        <v>8</v>
      </c>
      <c r="AL15" s="35">
        <f t="shared" si="121"/>
        <v>1.003571935446854</v>
      </c>
      <c r="AM15" s="33">
        <f t="shared" si="122"/>
        <v>-2.947436706328399E-2</v>
      </c>
      <c r="AN15" s="53">
        <f t="shared" si="123"/>
        <v>0</v>
      </c>
      <c r="AO15" s="80">
        <f t="shared" si="124"/>
        <v>0</v>
      </c>
      <c r="AP15" s="76" t="s">
        <v>8</v>
      </c>
      <c r="AQ15" s="30" t="s">
        <v>8</v>
      </c>
      <c r="AR15" s="35">
        <f t="shared" si="125"/>
        <v>1.003571935446854</v>
      </c>
      <c r="AS15" s="33">
        <f t="shared" si="126"/>
        <v>-2.947436706328399E-2</v>
      </c>
      <c r="AT15" s="53">
        <f t="shared" si="127"/>
        <v>0</v>
      </c>
      <c r="AU15" s="80">
        <f t="shared" si="128"/>
        <v>0</v>
      </c>
      <c r="AV15" s="76" t="s">
        <v>8</v>
      </c>
      <c r="AW15" s="30" t="s">
        <v>8</v>
      </c>
      <c r="AX15" s="35">
        <f t="shared" si="129"/>
        <v>1.003571935446854</v>
      </c>
      <c r="AY15" s="33">
        <f t="shared" si="130"/>
        <v>-2.947436706328399E-2</v>
      </c>
      <c r="AZ15" s="53">
        <f t="shared" si="131"/>
        <v>0</v>
      </c>
      <c r="BA15" s="80">
        <f t="shared" si="132"/>
        <v>0</v>
      </c>
      <c r="BB15" s="76" t="s">
        <v>8</v>
      </c>
      <c r="BC15" s="30" t="s">
        <v>8</v>
      </c>
      <c r="BD15" s="35">
        <f t="shared" si="133"/>
        <v>1.003571935446854</v>
      </c>
      <c r="BE15" s="33">
        <f t="shared" si="134"/>
        <v>-2.947436706328399E-2</v>
      </c>
      <c r="BF15" s="53">
        <f t="shared" si="135"/>
        <v>0</v>
      </c>
      <c r="BG15" s="80">
        <f t="shared" si="136"/>
        <v>0</v>
      </c>
      <c r="BH15" s="76" t="s">
        <v>8</v>
      </c>
      <c r="BI15" s="30" t="s">
        <v>8</v>
      </c>
      <c r="BJ15" s="35">
        <f t="shared" si="137"/>
        <v>1.003571935446854</v>
      </c>
      <c r="BK15" s="33">
        <f t="shared" si="138"/>
        <v>-2.947436706328399E-2</v>
      </c>
      <c r="BL15" s="53">
        <f t="shared" si="139"/>
        <v>0</v>
      </c>
      <c r="BM15" s="80">
        <f t="shared" si="140"/>
        <v>0</v>
      </c>
      <c r="BN15" s="76" t="s">
        <v>8</v>
      </c>
      <c r="BO15" s="30" t="s">
        <v>8</v>
      </c>
      <c r="BP15" s="35">
        <f t="shared" si="141"/>
        <v>1.003571935446854</v>
      </c>
      <c r="BQ15" s="33">
        <f t="shared" si="142"/>
        <v>-2.947436706328399E-2</v>
      </c>
      <c r="BR15" s="53">
        <f t="shared" si="143"/>
        <v>0</v>
      </c>
      <c r="BS15" s="132">
        <f t="shared" si="144"/>
        <v>0</v>
      </c>
      <c r="BT15" s="76" t="s">
        <v>8</v>
      </c>
      <c r="BU15" s="30" t="s">
        <v>8</v>
      </c>
      <c r="BV15" s="35">
        <f t="shared" si="145"/>
        <v>1.003571935446854</v>
      </c>
      <c r="BW15" s="33">
        <f t="shared" si="146"/>
        <v>-2.947436706328399E-2</v>
      </c>
      <c r="BX15" s="53">
        <f t="shared" si="147"/>
        <v>0</v>
      </c>
      <c r="BY15" s="132">
        <f t="shared" si="148"/>
        <v>0</v>
      </c>
      <c r="BZ15" s="76" t="s">
        <v>8</v>
      </c>
      <c r="CA15" s="30" t="s">
        <v>8</v>
      </c>
      <c r="CB15" s="35">
        <f t="shared" si="149"/>
        <v>1.003571935446854</v>
      </c>
      <c r="CC15" s="33">
        <f t="shared" si="150"/>
        <v>-2.947436706328399E-2</v>
      </c>
      <c r="CD15" s="53">
        <f t="shared" si="151"/>
        <v>0</v>
      </c>
      <c r="CE15" s="132">
        <f t="shared" si="152"/>
        <v>0</v>
      </c>
      <c r="CF15" s="76" t="s">
        <v>8</v>
      </c>
      <c r="CG15" s="30" t="s">
        <v>8</v>
      </c>
      <c r="CH15" s="35">
        <f t="shared" si="153"/>
        <v>1.003571935446854</v>
      </c>
      <c r="CI15" s="33">
        <f t="shared" si="154"/>
        <v>-2.947436706328399E-2</v>
      </c>
      <c r="CJ15" s="53">
        <f t="shared" si="155"/>
        <v>0</v>
      </c>
      <c r="CK15" s="132">
        <f t="shared" si="156"/>
        <v>0</v>
      </c>
      <c r="CL15" s="76" t="s">
        <v>8</v>
      </c>
      <c r="CM15" s="30" t="s">
        <v>8</v>
      </c>
      <c r="CN15" s="35">
        <f t="shared" si="157"/>
        <v>1.003571935446854</v>
      </c>
      <c r="CO15" s="33">
        <f t="shared" si="158"/>
        <v>-2.947436706328399E-2</v>
      </c>
      <c r="CP15" s="53">
        <f t="shared" si="159"/>
        <v>0</v>
      </c>
      <c r="CQ15" s="132">
        <f t="shared" si="160"/>
        <v>0</v>
      </c>
      <c r="CR15" s="76" t="s">
        <v>8</v>
      </c>
      <c r="CS15" s="30" t="s">
        <v>8</v>
      </c>
      <c r="CT15" s="35">
        <f t="shared" si="161"/>
        <v>1.003571935446854</v>
      </c>
      <c r="CU15" s="33">
        <f t="shared" si="162"/>
        <v>-2.947436706328399E-2</v>
      </c>
      <c r="CV15" s="53">
        <f t="shared" si="163"/>
        <v>0</v>
      </c>
      <c r="CW15" s="132">
        <f t="shared" si="164"/>
        <v>0</v>
      </c>
      <c r="CX15" s="76" t="s">
        <v>8</v>
      </c>
      <c r="CY15" s="30" t="s">
        <v>8</v>
      </c>
      <c r="CZ15" s="35">
        <f t="shared" si="165"/>
        <v>1.003571935446854</v>
      </c>
      <c r="DA15" s="33">
        <f t="shared" si="166"/>
        <v>-2.947436706328399E-2</v>
      </c>
      <c r="DB15" s="53">
        <f t="shared" si="167"/>
        <v>0</v>
      </c>
      <c r="DC15" s="132">
        <f t="shared" si="168"/>
        <v>0</v>
      </c>
      <c r="DD15" s="76" t="s">
        <v>8</v>
      </c>
      <c r="DE15" s="30" t="s">
        <v>8</v>
      </c>
      <c r="DF15" s="35">
        <f t="shared" si="169"/>
        <v>1.003571935446854</v>
      </c>
      <c r="DG15" s="33">
        <f t="shared" si="170"/>
        <v>-2.947436706328399E-2</v>
      </c>
      <c r="DH15" s="53">
        <f t="shared" si="171"/>
        <v>0</v>
      </c>
      <c r="DI15" s="132">
        <f t="shared" si="172"/>
        <v>0</v>
      </c>
      <c r="DJ15" s="76" t="s">
        <v>8</v>
      </c>
      <c r="DK15" s="30" t="s">
        <v>8</v>
      </c>
      <c r="DL15" s="35">
        <f t="shared" si="173"/>
        <v>1.003571935446854</v>
      </c>
      <c r="DM15" s="51">
        <f t="shared" si="174"/>
        <v>-2.947436706328399E-2</v>
      </c>
      <c r="DN15" s="53">
        <f t="shared" si="175"/>
        <v>0</v>
      </c>
      <c r="DO15" s="132">
        <f t="shared" si="176"/>
        <v>0</v>
      </c>
      <c r="DP15" s="76" t="s">
        <v>8</v>
      </c>
      <c r="DQ15" s="30" t="s">
        <v>8</v>
      </c>
      <c r="DR15" s="35">
        <f t="shared" si="177"/>
        <v>1.003571935446854</v>
      </c>
      <c r="DS15" s="51">
        <f t="shared" si="178"/>
        <v>-2.947436706328399E-2</v>
      </c>
      <c r="DT15" s="53">
        <f t="shared" si="227"/>
        <v>0</v>
      </c>
      <c r="DU15" s="132">
        <f t="shared" si="179"/>
        <v>0</v>
      </c>
      <c r="DV15" s="76" t="s">
        <v>8</v>
      </c>
      <c r="DW15" s="30" t="s">
        <v>8</v>
      </c>
      <c r="DX15" s="35">
        <f t="shared" si="180"/>
        <v>1.003571935446854</v>
      </c>
      <c r="DY15" s="33">
        <f t="shared" si="181"/>
        <v>-2.947436706328399E-2</v>
      </c>
      <c r="DZ15" s="34">
        <f t="shared" si="182"/>
        <v>0</v>
      </c>
      <c r="EA15" s="80">
        <f t="shared" si="183"/>
        <v>0</v>
      </c>
      <c r="EB15" s="76" t="s">
        <v>8</v>
      </c>
      <c r="EC15" s="30" t="s">
        <v>8</v>
      </c>
      <c r="ED15" s="35">
        <f t="shared" si="184"/>
        <v>1.003571935446854</v>
      </c>
      <c r="EE15" s="33">
        <f t="shared" si="185"/>
        <v>-2.947436706328399E-2</v>
      </c>
      <c r="EF15" s="34">
        <f t="shared" si="186"/>
        <v>0</v>
      </c>
      <c r="EG15" s="80">
        <f t="shared" si="187"/>
        <v>0</v>
      </c>
      <c r="EH15" s="76" t="s">
        <v>8</v>
      </c>
      <c r="EI15" s="30" t="s">
        <v>8</v>
      </c>
      <c r="EJ15" s="35">
        <f t="shared" si="188"/>
        <v>1.003571935446854</v>
      </c>
      <c r="EK15" s="33">
        <f t="shared" si="189"/>
        <v>-2.947436706328399E-2</v>
      </c>
      <c r="EL15" s="34">
        <f t="shared" si="190"/>
        <v>0</v>
      </c>
      <c r="EM15" s="80">
        <f t="shared" si="191"/>
        <v>0</v>
      </c>
      <c r="EN15" s="76" t="s">
        <v>8</v>
      </c>
      <c r="EO15" s="30" t="s">
        <v>8</v>
      </c>
      <c r="EP15" s="35">
        <f t="shared" si="192"/>
        <v>1.003571935446854</v>
      </c>
      <c r="EQ15" s="51">
        <f t="shared" si="193"/>
        <v>-2.947436706328399E-2</v>
      </c>
      <c r="ER15" s="34">
        <f t="shared" si="194"/>
        <v>0</v>
      </c>
      <c r="ES15" s="80">
        <f t="shared" si="195"/>
        <v>0</v>
      </c>
      <c r="ET15" s="76" t="s">
        <v>8</v>
      </c>
      <c r="EU15" s="30" t="s">
        <v>8</v>
      </c>
      <c r="EV15" s="35">
        <f t="shared" si="196"/>
        <v>1.003571935446854</v>
      </c>
      <c r="EW15" s="33">
        <f t="shared" si="197"/>
        <v>-2.947436706328399E-2</v>
      </c>
      <c r="EX15" s="34">
        <f t="shared" si="198"/>
        <v>0</v>
      </c>
      <c r="EY15" s="80">
        <f t="shared" si="199"/>
        <v>0</v>
      </c>
      <c r="EZ15" s="76" t="s">
        <v>8</v>
      </c>
      <c r="FA15" s="30" t="s">
        <v>8</v>
      </c>
      <c r="FB15" s="35">
        <f t="shared" si="200"/>
        <v>1.003571935446854</v>
      </c>
      <c r="FC15" s="33">
        <f t="shared" si="201"/>
        <v>-2.947436706328399E-2</v>
      </c>
      <c r="FD15" s="34">
        <f t="shared" si="202"/>
        <v>0</v>
      </c>
      <c r="FE15" s="80">
        <f t="shared" si="203"/>
        <v>0</v>
      </c>
      <c r="FF15" s="76" t="s">
        <v>8</v>
      </c>
      <c r="FG15" s="30" t="s">
        <v>8</v>
      </c>
      <c r="FH15" s="35">
        <f t="shared" si="204"/>
        <v>1.003571935446854</v>
      </c>
      <c r="FI15" s="33">
        <f t="shared" si="205"/>
        <v>-2.947436706328399E-2</v>
      </c>
      <c r="FJ15" s="34">
        <f t="shared" si="206"/>
        <v>0</v>
      </c>
      <c r="FK15" s="80">
        <f t="shared" si="207"/>
        <v>0</v>
      </c>
      <c r="FL15" s="76" t="s">
        <v>8</v>
      </c>
      <c r="FM15" s="30" t="s">
        <v>8</v>
      </c>
      <c r="FN15" s="35">
        <f t="shared" si="208"/>
        <v>1.003571935446854</v>
      </c>
      <c r="FO15" s="33">
        <f t="shared" si="209"/>
        <v>-2.947436706328399E-2</v>
      </c>
      <c r="FP15" s="34">
        <f t="shared" si="210"/>
        <v>0</v>
      </c>
      <c r="FQ15" s="80">
        <f t="shared" si="211"/>
        <v>0</v>
      </c>
      <c r="FR15" s="76" t="s">
        <v>8</v>
      </c>
      <c r="FS15" s="30" t="s">
        <v>8</v>
      </c>
      <c r="FT15" s="35">
        <f t="shared" si="212"/>
        <v>1.003571935446854</v>
      </c>
      <c r="FU15" s="33">
        <f t="shared" si="213"/>
        <v>-2.947436706328399E-2</v>
      </c>
      <c r="FV15" s="34">
        <f t="shared" si="214"/>
        <v>0</v>
      </c>
      <c r="FW15" s="80">
        <f t="shared" si="215"/>
        <v>0</v>
      </c>
      <c r="FX15" s="76" t="s">
        <v>8</v>
      </c>
      <c r="FY15" s="30" t="s">
        <v>8</v>
      </c>
      <c r="FZ15" s="35">
        <f t="shared" si="216"/>
        <v>1.003571935446854</v>
      </c>
      <c r="GA15" s="33">
        <f t="shared" si="217"/>
        <v>-2.947436706328399E-2</v>
      </c>
      <c r="GB15" s="34">
        <f t="shared" si="218"/>
        <v>0</v>
      </c>
      <c r="GC15" s="80">
        <f t="shared" si="219"/>
        <v>0</v>
      </c>
      <c r="GD15" s="76" t="s">
        <v>8</v>
      </c>
      <c r="GE15" s="30" t="s">
        <v>8</v>
      </c>
      <c r="GF15" s="35">
        <f t="shared" si="220"/>
        <v>1.003571935446854</v>
      </c>
      <c r="GG15" s="33">
        <f t="shared" si="221"/>
        <v>-2.947436706328399E-2</v>
      </c>
      <c r="GH15" s="34">
        <f t="shared" si="222"/>
        <v>0</v>
      </c>
      <c r="GI15" s="132">
        <f t="shared" si="223"/>
        <v>0</v>
      </c>
      <c r="GJ15" s="168">
        <f t="shared" si="228"/>
        <v>429401.94910073787</v>
      </c>
      <c r="GK15" s="104">
        <f t="shared" si="224"/>
        <v>885224.51476088853</v>
      </c>
      <c r="GL15" s="86">
        <f t="shared" si="225"/>
        <v>1.003571935446854</v>
      </c>
      <c r="GN15" s="214">
        <v>885224.52</v>
      </c>
    </row>
    <row r="16" spans="1:196" s="25" customFormat="1" x14ac:dyDescent="0.25">
      <c r="A16" s="184" t="s">
        <v>180</v>
      </c>
      <c r="B16" s="155" t="s">
        <v>8</v>
      </c>
      <c r="C16" s="155" t="s">
        <v>8</v>
      </c>
      <c r="D16" s="155" t="s">
        <v>8</v>
      </c>
      <c r="E16" s="155" t="s">
        <v>8</v>
      </c>
      <c r="F16" s="155" t="s">
        <v>8</v>
      </c>
      <c r="G16" s="113">
        <f>'Исходные данные 25 г.'!C18</f>
        <v>279</v>
      </c>
      <c r="H16" s="31">
        <f>'Исходные данные 25 г.'!D18</f>
        <v>130530</v>
      </c>
      <c r="I16" s="32">
        <f>'Расчет КРП'!H14</f>
        <v>7.7157631684014945</v>
      </c>
      <c r="J16" s="120" t="s">
        <v>8</v>
      </c>
      <c r="K16" s="124">
        <f t="shared" si="104"/>
        <v>0.10042261213919378</v>
      </c>
      <c r="L16" s="77">
        <f t="shared" si="105"/>
        <v>339131.98885115213</v>
      </c>
      <c r="M16" s="73">
        <f t="shared" si="106"/>
        <v>0.3613321362362798</v>
      </c>
      <c r="N16" s="30" t="s">
        <v>8</v>
      </c>
      <c r="O16" s="33">
        <f t="shared" si="107"/>
        <v>0.14699575567493295</v>
      </c>
      <c r="P16" s="34">
        <f t="shared" si="226"/>
        <v>575704.31541608402</v>
      </c>
      <c r="Q16" s="80">
        <f t="shared" si="108"/>
        <v>575704.31541608402</v>
      </c>
      <c r="R16" s="160" t="s">
        <v>8</v>
      </c>
      <c r="S16" s="30" t="s">
        <v>8</v>
      </c>
      <c r="T16" s="35">
        <f t="shared" si="109"/>
        <v>0.80424741375018061</v>
      </c>
      <c r="U16" s="33">
        <f t="shared" si="110"/>
        <v>-7.677859200814463E-2</v>
      </c>
      <c r="V16" s="53">
        <f t="shared" si="111"/>
        <v>0</v>
      </c>
      <c r="W16" s="80">
        <f t="shared" si="112"/>
        <v>0</v>
      </c>
      <c r="X16" s="76" t="s">
        <v>8</v>
      </c>
      <c r="Y16" s="30" t="s">
        <v>8</v>
      </c>
      <c r="Z16" s="35">
        <f t="shared" si="113"/>
        <v>0.80424741375018061</v>
      </c>
      <c r="AA16" s="33">
        <f t="shared" si="114"/>
        <v>3.9257940406894343E-2</v>
      </c>
      <c r="AB16" s="53">
        <f t="shared" si="115"/>
        <v>225676.70856801682</v>
      </c>
      <c r="AC16" s="80">
        <f t="shared" si="116"/>
        <v>225676.70856801682</v>
      </c>
      <c r="AD16" s="76" t="s">
        <v>8</v>
      </c>
      <c r="AE16" s="30" t="s">
        <v>8</v>
      </c>
      <c r="AF16" s="35">
        <f t="shared" si="117"/>
        <v>0.97787067716377007</v>
      </c>
      <c r="AG16" s="33">
        <f t="shared" si="118"/>
        <v>-3.7604391970679329E-2</v>
      </c>
      <c r="AH16" s="53">
        <f t="shared" si="119"/>
        <v>0</v>
      </c>
      <c r="AI16" s="80">
        <f t="shared" si="120"/>
        <v>0</v>
      </c>
      <c r="AJ16" s="76" t="s">
        <v>8</v>
      </c>
      <c r="AK16" s="30" t="s">
        <v>8</v>
      </c>
      <c r="AL16" s="35">
        <f t="shared" si="121"/>
        <v>0.97787067716377007</v>
      </c>
      <c r="AM16" s="33">
        <f t="shared" si="122"/>
        <v>-3.7731087802000962E-3</v>
      </c>
      <c r="AN16" s="53">
        <f t="shared" si="123"/>
        <v>0</v>
      </c>
      <c r="AO16" s="80">
        <f t="shared" si="124"/>
        <v>0</v>
      </c>
      <c r="AP16" s="76" t="s">
        <v>8</v>
      </c>
      <c r="AQ16" s="30" t="s">
        <v>8</v>
      </c>
      <c r="AR16" s="35">
        <f t="shared" si="125"/>
        <v>0.97787067716377007</v>
      </c>
      <c r="AS16" s="33">
        <f t="shared" si="126"/>
        <v>-3.7731087802000962E-3</v>
      </c>
      <c r="AT16" s="53">
        <f t="shared" si="127"/>
        <v>0</v>
      </c>
      <c r="AU16" s="80">
        <f t="shared" si="128"/>
        <v>0</v>
      </c>
      <c r="AV16" s="76" t="s">
        <v>8</v>
      </c>
      <c r="AW16" s="30" t="s">
        <v>8</v>
      </c>
      <c r="AX16" s="35">
        <f t="shared" si="129"/>
        <v>0.97787067716377007</v>
      </c>
      <c r="AY16" s="33">
        <f t="shared" si="130"/>
        <v>-3.7731087802000962E-3</v>
      </c>
      <c r="AZ16" s="53">
        <f t="shared" si="131"/>
        <v>0</v>
      </c>
      <c r="BA16" s="80">
        <f t="shared" si="132"/>
        <v>0</v>
      </c>
      <c r="BB16" s="76" t="s">
        <v>8</v>
      </c>
      <c r="BC16" s="30" t="s">
        <v>8</v>
      </c>
      <c r="BD16" s="35">
        <f t="shared" si="133"/>
        <v>0.97787067716377007</v>
      </c>
      <c r="BE16" s="33">
        <f t="shared" si="134"/>
        <v>-3.7731087802000962E-3</v>
      </c>
      <c r="BF16" s="53">
        <f t="shared" si="135"/>
        <v>0</v>
      </c>
      <c r="BG16" s="80">
        <f t="shared" si="136"/>
        <v>0</v>
      </c>
      <c r="BH16" s="76" t="s">
        <v>8</v>
      </c>
      <c r="BI16" s="30" t="s">
        <v>8</v>
      </c>
      <c r="BJ16" s="35">
        <f t="shared" si="137"/>
        <v>0.97787067716377007</v>
      </c>
      <c r="BK16" s="33">
        <f t="shared" si="138"/>
        <v>-3.7731087802000962E-3</v>
      </c>
      <c r="BL16" s="53">
        <f t="shared" si="139"/>
        <v>0</v>
      </c>
      <c r="BM16" s="80">
        <f t="shared" si="140"/>
        <v>0</v>
      </c>
      <c r="BN16" s="76" t="s">
        <v>8</v>
      </c>
      <c r="BO16" s="30" t="s">
        <v>8</v>
      </c>
      <c r="BP16" s="35">
        <f t="shared" si="141"/>
        <v>0.97787067716377007</v>
      </c>
      <c r="BQ16" s="33">
        <f t="shared" si="142"/>
        <v>-3.7731087802000962E-3</v>
      </c>
      <c r="BR16" s="53">
        <f t="shared" si="143"/>
        <v>0</v>
      </c>
      <c r="BS16" s="132">
        <f t="shared" si="144"/>
        <v>0</v>
      </c>
      <c r="BT16" s="76" t="s">
        <v>8</v>
      </c>
      <c r="BU16" s="30" t="s">
        <v>8</v>
      </c>
      <c r="BV16" s="35">
        <f t="shared" si="145"/>
        <v>0.97787067716377007</v>
      </c>
      <c r="BW16" s="33">
        <f t="shared" si="146"/>
        <v>-3.7731087802000962E-3</v>
      </c>
      <c r="BX16" s="53">
        <f t="shared" si="147"/>
        <v>0</v>
      </c>
      <c r="BY16" s="132">
        <f t="shared" si="148"/>
        <v>0</v>
      </c>
      <c r="BZ16" s="76" t="s">
        <v>8</v>
      </c>
      <c r="CA16" s="30" t="s">
        <v>8</v>
      </c>
      <c r="CB16" s="35">
        <f t="shared" si="149"/>
        <v>0.97787067716377007</v>
      </c>
      <c r="CC16" s="33">
        <f t="shared" si="150"/>
        <v>-3.7731087802000962E-3</v>
      </c>
      <c r="CD16" s="53">
        <f t="shared" si="151"/>
        <v>0</v>
      </c>
      <c r="CE16" s="132">
        <f t="shared" si="152"/>
        <v>0</v>
      </c>
      <c r="CF16" s="76" t="s">
        <v>8</v>
      </c>
      <c r="CG16" s="30" t="s">
        <v>8</v>
      </c>
      <c r="CH16" s="35">
        <f t="shared" si="153"/>
        <v>0.97787067716377007</v>
      </c>
      <c r="CI16" s="33">
        <f t="shared" si="154"/>
        <v>-3.7731087802000962E-3</v>
      </c>
      <c r="CJ16" s="53">
        <f t="shared" si="155"/>
        <v>0</v>
      </c>
      <c r="CK16" s="132">
        <f t="shared" si="156"/>
        <v>0</v>
      </c>
      <c r="CL16" s="76" t="s">
        <v>8</v>
      </c>
      <c r="CM16" s="30" t="s">
        <v>8</v>
      </c>
      <c r="CN16" s="35">
        <f t="shared" si="157"/>
        <v>0.97787067716377007</v>
      </c>
      <c r="CO16" s="33">
        <f t="shared" si="158"/>
        <v>-3.7731087802000962E-3</v>
      </c>
      <c r="CP16" s="53">
        <f t="shared" si="159"/>
        <v>0</v>
      </c>
      <c r="CQ16" s="132">
        <f t="shared" si="160"/>
        <v>0</v>
      </c>
      <c r="CR16" s="76" t="s">
        <v>8</v>
      </c>
      <c r="CS16" s="30" t="s">
        <v>8</v>
      </c>
      <c r="CT16" s="35">
        <f t="shared" si="161"/>
        <v>0.97787067716377007</v>
      </c>
      <c r="CU16" s="33">
        <f t="shared" si="162"/>
        <v>-3.7731087802000962E-3</v>
      </c>
      <c r="CV16" s="53">
        <f t="shared" si="163"/>
        <v>0</v>
      </c>
      <c r="CW16" s="132">
        <f t="shared" si="164"/>
        <v>0</v>
      </c>
      <c r="CX16" s="76" t="s">
        <v>8</v>
      </c>
      <c r="CY16" s="30" t="s">
        <v>8</v>
      </c>
      <c r="CZ16" s="35">
        <f t="shared" si="165"/>
        <v>0.97787067716377007</v>
      </c>
      <c r="DA16" s="33">
        <f t="shared" si="166"/>
        <v>-3.7731087802000962E-3</v>
      </c>
      <c r="DB16" s="53">
        <f t="shared" si="167"/>
        <v>0</v>
      </c>
      <c r="DC16" s="132">
        <f t="shared" si="168"/>
        <v>0</v>
      </c>
      <c r="DD16" s="76" t="s">
        <v>8</v>
      </c>
      <c r="DE16" s="30" t="s">
        <v>8</v>
      </c>
      <c r="DF16" s="35">
        <f t="shared" si="169"/>
        <v>0.97787067716377007</v>
      </c>
      <c r="DG16" s="33">
        <f t="shared" si="170"/>
        <v>-3.7731087802000962E-3</v>
      </c>
      <c r="DH16" s="53">
        <f t="shared" si="171"/>
        <v>0</v>
      </c>
      <c r="DI16" s="132">
        <f t="shared" si="172"/>
        <v>0</v>
      </c>
      <c r="DJ16" s="76" t="s">
        <v>8</v>
      </c>
      <c r="DK16" s="30" t="s">
        <v>8</v>
      </c>
      <c r="DL16" s="35">
        <f t="shared" si="173"/>
        <v>0.97787067716377007</v>
      </c>
      <c r="DM16" s="51">
        <f t="shared" si="174"/>
        <v>-3.7731087802000962E-3</v>
      </c>
      <c r="DN16" s="53">
        <f t="shared" si="175"/>
        <v>0</v>
      </c>
      <c r="DO16" s="132">
        <f t="shared" si="176"/>
        <v>0</v>
      </c>
      <c r="DP16" s="76" t="s">
        <v>8</v>
      </c>
      <c r="DQ16" s="30" t="s">
        <v>8</v>
      </c>
      <c r="DR16" s="35">
        <f t="shared" si="177"/>
        <v>0.97787067716377007</v>
      </c>
      <c r="DS16" s="51">
        <f t="shared" si="178"/>
        <v>-3.7731087802000962E-3</v>
      </c>
      <c r="DT16" s="53">
        <f t="shared" si="227"/>
        <v>0</v>
      </c>
      <c r="DU16" s="132">
        <f t="shared" si="179"/>
        <v>0</v>
      </c>
      <c r="DV16" s="76" t="s">
        <v>8</v>
      </c>
      <c r="DW16" s="30" t="s">
        <v>8</v>
      </c>
      <c r="DX16" s="35">
        <f t="shared" si="180"/>
        <v>0.97787067716377007</v>
      </c>
      <c r="DY16" s="33">
        <f t="shared" si="181"/>
        <v>-3.7731087802000962E-3</v>
      </c>
      <c r="DZ16" s="34">
        <f t="shared" si="182"/>
        <v>0</v>
      </c>
      <c r="EA16" s="80">
        <f t="shared" si="183"/>
        <v>0</v>
      </c>
      <c r="EB16" s="76" t="s">
        <v>8</v>
      </c>
      <c r="EC16" s="30" t="s">
        <v>8</v>
      </c>
      <c r="ED16" s="35">
        <f t="shared" si="184"/>
        <v>0.97787067716377007</v>
      </c>
      <c r="EE16" s="33">
        <f t="shared" si="185"/>
        <v>-3.7731087802000962E-3</v>
      </c>
      <c r="EF16" s="34">
        <f t="shared" si="186"/>
        <v>0</v>
      </c>
      <c r="EG16" s="80">
        <f t="shared" si="187"/>
        <v>0</v>
      </c>
      <c r="EH16" s="76" t="s">
        <v>8</v>
      </c>
      <c r="EI16" s="30" t="s">
        <v>8</v>
      </c>
      <c r="EJ16" s="35">
        <f t="shared" si="188"/>
        <v>0.97787067716377007</v>
      </c>
      <c r="EK16" s="33">
        <f t="shared" si="189"/>
        <v>-3.7731087802000962E-3</v>
      </c>
      <c r="EL16" s="34">
        <f t="shared" si="190"/>
        <v>0</v>
      </c>
      <c r="EM16" s="80">
        <f t="shared" si="191"/>
        <v>0</v>
      </c>
      <c r="EN16" s="76" t="s">
        <v>8</v>
      </c>
      <c r="EO16" s="30" t="s">
        <v>8</v>
      </c>
      <c r="EP16" s="35">
        <f t="shared" si="192"/>
        <v>0.97787067716377007</v>
      </c>
      <c r="EQ16" s="51">
        <f t="shared" si="193"/>
        <v>-3.7731087802000962E-3</v>
      </c>
      <c r="ER16" s="34">
        <f t="shared" si="194"/>
        <v>0</v>
      </c>
      <c r="ES16" s="80">
        <f t="shared" si="195"/>
        <v>0</v>
      </c>
      <c r="ET16" s="76" t="s">
        <v>8</v>
      </c>
      <c r="EU16" s="30" t="s">
        <v>8</v>
      </c>
      <c r="EV16" s="35">
        <f t="shared" si="196"/>
        <v>0.97787067716377007</v>
      </c>
      <c r="EW16" s="33">
        <f t="shared" si="197"/>
        <v>-3.7731087802000962E-3</v>
      </c>
      <c r="EX16" s="34">
        <f t="shared" si="198"/>
        <v>0</v>
      </c>
      <c r="EY16" s="80">
        <f t="shared" si="199"/>
        <v>0</v>
      </c>
      <c r="EZ16" s="76" t="s">
        <v>8</v>
      </c>
      <c r="FA16" s="30" t="s">
        <v>8</v>
      </c>
      <c r="FB16" s="35">
        <f t="shared" si="200"/>
        <v>0.97787067716377007</v>
      </c>
      <c r="FC16" s="33">
        <f t="shared" si="201"/>
        <v>-3.7731087802000962E-3</v>
      </c>
      <c r="FD16" s="34">
        <f t="shared" si="202"/>
        <v>0</v>
      </c>
      <c r="FE16" s="80">
        <f t="shared" si="203"/>
        <v>0</v>
      </c>
      <c r="FF16" s="76" t="s">
        <v>8</v>
      </c>
      <c r="FG16" s="30" t="s">
        <v>8</v>
      </c>
      <c r="FH16" s="35">
        <f t="shared" si="204"/>
        <v>0.97787067716377007</v>
      </c>
      <c r="FI16" s="33">
        <f t="shared" si="205"/>
        <v>-3.7731087802000962E-3</v>
      </c>
      <c r="FJ16" s="34">
        <f t="shared" si="206"/>
        <v>0</v>
      </c>
      <c r="FK16" s="80">
        <f t="shared" si="207"/>
        <v>0</v>
      </c>
      <c r="FL16" s="76" t="s">
        <v>8</v>
      </c>
      <c r="FM16" s="30" t="s">
        <v>8</v>
      </c>
      <c r="FN16" s="35">
        <f t="shared" si="208"/>
        <v>0.97787067716377007</v>
      </c>
      <c r="FO16" s="33">
        <f t="shared" si="209"/>
        <v>-3.7731087802000962E-3</v>
      </c>
      <c r="FP16" s="34">
        <f t="shared" si="210"/>
        <v>0</v>
      </c>
      <c r="FQ16" s="80">
        <f t="shared" si="211"/>
        <v>0</v>
      </c>
      <c r="FR16" s="76" t="s">
        <v>8</v>
      </c>
      <c r="FS16" s="30" t="s">
        <v>8</v>
      </c>
      <c r="FT16" s="35">
        <f t="shared" si="212"/>
        <v>0.97787067716377007</v>
      </c>
      <c r="FU16" s="33">
        <f t="shared" si="213"/>
        <v>-3.7731087802000962E-3</v>
      </c>
      <c r="FV16" s="34">
        <f t="shared" si="214"/>
        <v>0</v>
      </c>
      <c r="FW16" s="80">
        <f t="shared" si="215"/>
        <v>0</v>
      </c>
      <c r="FX16" s="76" t="s">
        <v>8</v>
      </c>
      <c r="FY16" s="30" t="s">
        <v>8</v>
      </c>
      <c r="FZ16" s="35">
        <f t="shared" si="216"/>
        <v>0.97787067716377007</v>
      </c>
      <c r="GA16" s="33">
        <f t="shared" si="217"/>
        <v>-3.7731087802000962E-3</v>
      </c>
      <c r="GB16" s="34">
        <f t="shared" si="218"/>
        <v>0</v>
      </c>
      <c r="GC16" s="80">
        <f t="shared" si="219"/>
        <v>0</v>
      </c>
      <c r="GD16" s="76" t="s">
        <v>8</v>
      </c>
      <c r="GE16" s="30" t="s">
        <v>8</v>
      </c>
      <c r="GF16" s="35">
        <f t="shared" si="220"/>
        <v>0.97787067716377007</v>
      </c>
      <c r="GG16" s="33">
        <f t="shared" si="221"/>
        <v>-3.7731087802000962E-3</v>
      </c>
      <c r="GH16" s="34">
        <f t="shared" si="222"/>
        <v>0</v>
      </c>
      <c r="GI16" s="132">
        <f t="shared" si="223"/>
        <v>0</v>
      </c>
      <c r="GJ16" s="168">
        <f t="shared" si="228"/>
        <v>801381.0239841009</v>
      </c>
      <c r="GK16" s="104">
        <f t="shared" si="224"/>
        <v>1140513.012835253</v>
      </c>
      <c r="GL16" s="86">
        <f t="shared" si="225"/>
        <v>0.97787067716377007</v>
      </c>
      <c r="GN16" s="214">
        <v>1140513.01</v>
      </c>
    </row>
    <row r="17" spans="1:196" s="25" customFormat="1" x14ac:dyDescent="0.25">
      <c r="A17" s="184" t="s">
        <v>181</v>
      </c>
      <c r="B17" s="155" t="s">
        <v>8</v>
      </c>
      <c r="C17" s="155" t="s">
        <v>8</v>
      </c>
      <c r="D17" s="155" t="s">
        <v>8</v>
      </c>
      <c r="E17" s="155" t="s">
        <v>8</v>
      </c>
      <c r="F17" s="155" t="s">
        <v>8</v>
      </c>
      <c r="G17" s="113">
        <f>'Исходные данные 25 г.'!C19</f>
        <v>671</v>
      </c>
      <c r="H17" s="31">
        <f>'Исходные данные 25 г.'!D19</f>
        <v>191220</v>
      </c>
      <c r="I17" s="32">
        <f>'Расчет КРП'!H15</f>
        <v>5.1770695473284416</v>
      </c>
      <c r="J17" s="120" t="s">
        <v>8</v>
      </c>
      <c r="K17" s="124">
        <f t="shared" si="104"/>
        <v>9.1165614207127113E-2</v>
      </c>
      <c r="L17" s="77">
        <f t="shared" si="105"/>
        <v>815618.51082122955</v>
      </c>
      <c r="M17" s="73">
        <f t="shared" si="106"/>
        <v>0.48001804856399222</v>
      </c>
      <c r="N17" s="30" t="s">
        <v>8</v>
      </c>
      <c r="O17" s="33">
        <f t="shared" si="107"/>
        <v>2.8309843347220531E-2</v>
      </c>
      <c r="P17" s="34">
        <f t="shared" si="226"/>
        <v>178918.63791353637</v>
      </c>
      <c r="Q17" s="80">
        <f t="shared" si="108"/>
        <v>178918.63791353637</v>
      </c>
      <c r="R17" s="160" t="s">
        <v>8</v>
      </c>
      <c r="S17" s="30" t="s">
        <v>8</v>
      </c>
      <c r="T17" s="35">
        <f t="shared" si="109"/>
        <v>0.56531889323761475</v>
      </c>
      <c r="U17" s="33">
        <f t="shared" si="110"/>
        <v>0.16214992850442123</v>
      </c>
      <c r="V17" s="53">
        <f t="shared" si="111"/>
        <v>1234577.2275652406</v>
      </c>
      <c r="W17" s="80">
        <f t="shared" si="112"/>
        <v>1234577.2275652406</v>
      </c>
      <c r="X17" s="76" t="s">
        <v>8</v>
      </c>
      <c r="Y17" s="30" t="s">
        <v>8</v>
      </c>
      <c r="Z17" s="35">
        <f t="shared" si="113"/>
        <v>1.1539131367117141</v>
      </c>
      <c r="AA17" s="33">
        <f t="shared" si="114"/>
        <v>-0.31040778255463919</v>
      </c>
      <c r="AB17" s="53">
        <f t="shared" si="115"/>
        <v>0</v>
      </c>
      <c r="AC17" s="80">
        <f t="shared" si="116"/>
        <v>0</v>
      </c>
      <c r="AD17" s="76" t="s">
        <v>8</v>
      </c>
      <c r="AE17" s="30" t="s">
        <v>8</v>
      </c>
      <c r="AF17" s="35">
        <f t="shared" si="117"/>
        <v>1.1539131367117141</v>
      </c>
      <c r="AG17" s="33">
        <f t="shared" si="118"/>
        <v>-0.21364685151862339</v>
      </c>
      <c r="AH17" s="53">
        <f t="shared" si="119"/>
        <v>0</v>
      </c>
      <c r="AI17" s="80">
        <f t="shared" si="120"/>
        <v>0</v>
      </c>
      <c r="AJ17" s="76" t="s">
        <v>8</v>
      </c>
      <c r="AK17" s="30" t="s">
        <v>8</v>
      </c>
      <c r="AL17" s="35">
        <f t="shared" si="121"/>
        <v>1.1539131367117141</v>
      </c>
      <c r="AM17" s="33">
        <f t="shared" si="122"/>
        <v>-0.17981556832814416</v>
      </c>
      <c r="AN17" s="53">
        <f t="shared" si="123"/>
        <v>0</v>
      </c>
      <c r="AO17" s="80">
        <f t="shared" si="124"/>
        <v>0</v>
      </c>
      <c r="AP17" s="76" t="s">
        <v>8</v>
      </c>
      <c r="AQ17" s="30" t="s">
        <v>8</v>
      </c>
      <c r="AR17" s="35">
        <f t="shared" si="125"/>
        <v>1.1539131367117141</v>
      </c>
      <c r="AS17" s="33">
        <f t="shared" si="126"/>
        <v>-0.17981556832814416</v>
      </c>
      <c r="AT17" s="53">
        <f t="shared" si="127"/>
        <v>0</v>
      </c>
      <c r="AU17" s="80">
        <f t="shared" si="128"/>
        <v>0</v>
      </c>
      <c r="AV17" s="76" t="s">
        <v>8</v>
      </c>
      <c r="AW17" s="30" t="s">
        <v>8</v>
      </c>
      <c r="AX17" s="35">
        <f t="shared" si="129"/>
        <v>1.1539131367117141</v>
      </c>
      <c r="AY17" s="33">
        <f t="shared" si="130"/>
        <v>-0.17981556832814416</v>
      </c>
      <c r="AZ17" s="53">
        <f t="shared" si="131"/>
        <v>0</v>
      </c>
      <c r="BA17" s="80">
        <f t="shared" si="132"/>
        <v>0</v>
      </c>
      <c r="BB17" s="76" t="s">
        <v>8</v>
      </c>
      <c r="BC17" s="30" t="s">
        <v>8</v>
      </c>
      <c r="BD17" s="35">
        <f t="shared" si="133"/>
        <v>1.1539131367117141</v>
      </c>
      <c r="BE17" s="33">
        <f t="shared" si="134"/>
        <v>-0.17981556832814416</v>
      </c>
      <c r="BF17" s="53">
        <f t="shared" si="135"/>
        <v>0</v>
      </c>
      <c r="BG17" s="80">
        <f t="shared" si="136"/>
        <v>0</v>
      </c>
      <c r="BH17" s="76" t="s">
        <v>8</v>
      </c>
      <c r="BI17" s="30" t="s">
        <v>8</v>
      </c>
      <c r="BJ17" s="35">
        <f t="shared" si="137"/>
        <v>1.1539131367117141</v>
      </c>
      <c r="BK17" s="33">
        <f t="shared" si="138"/>
        <v>-0.17981556832814416</v>
      </c>
      <c r="BL17" s="53">
        <f t="shared" si="139"/>
        <v>0</v>
      </c>
      <c r="BM17" s="80">
        <f t="shared" si="140"/>
        <v>0</v>
      </c>
      <c r="BN17" s="76" t="s">
        <v>8</v>
      </c>
      <c r="BO17" s="30" t="s">
        <v>8</v>
      </c>
      <c r="BP17" s="35">
        <f t="shared" si="141"/>
        <v>1.1539131367117141</v>
      </c>
      <c r="BQ17" s="33">
        <f t="shared" si="142"/>
        <v>-0.17981556832814416</v>
      </c>
      <c r="BR17" s="53">
        <f t="shared" si="143"/>
        <v>0</v>
      </c>
      <c r="BS17" s="132">
        <f t="shared" si="144"/>
        <v>0</v>
      </c>
      <c r="BT17" s="76" t="s">
        <v>8</v>
      </c>
      <c r="BU17" s="30" t="s">
        <v>8</v>
      </c>
      <c r="BV17" s="35">
        <f t="shared" si="145"/>
        <v>1.1539131367117141</v>
      </c>
      <c r="BW17" s="33">
        <f t="shared" si="146"/>
        <v>-0.17981556832814416</v>
      </c>
      <c r="BX17" s="53">
        <f t="shared" si="147"/>
        <v>0</v>
      </c>
      <c r="BY17" s="132">
        <f t="shared" si="148"/>
        <v>0</v>
      </c>
      <c r="BZ17" s="76" t="s">
        <v>8</v>
      </c>
      <c r="CA17" s="30" t="s">
        <v>8</v>
      </c>
      <c r="CB17" s="35">
        <f t="shared" si="149"/>
        <v>1.1539131367117141</v>
      </c>
      <c r="CC17" s="33">
        <f t="shared" si="150"/>
        <v>-0.17981556832814416</v>
      </c>
      <c r="CD17" s="53">
        <f t="shared" si="151"/>
        <v>0</v>
      </c>
      <c r="CE17" s="132">
        <f t="shared" si="152"/>
        <v>0</v>
      </c>
      <c r="CF17" s="76" t="s">
        <v>8</v>
      </c>
      <c r="CG17" s="30" t="s">
        <v>8</v>
      </c>
      <c r="CH17" s="35">
        <f t="shared" si="153"/>
        <v>1.1539131367117141</v>
      </c>
      <c r="CI17" s="33">
        <f t="shared" si="154"/>
        <v>-0.17981556832814416</v>
      </c>
      <c r="CJ17" s="53">
        <f t="shared" si="155"/>
        <v>0</v>
      </c>
      <c r="CK17" s="132">
        <f t="shared" si="156"/>
        <v>0</v>
      </c>
      <c r="CL17" s="76" t="s">
        <v>8</v>
      </c>
      <c r="CM17" s="30" t="s">
        <v>8</v>
      </c>
      <c r="CN17" s="35">
        <f t="shared" si="157"/>
        <v>1.1539131367117141</v>
      </c>
      <c r="CO17" s="33">
        <f t="shared" si="158"/>
        <v>-0.17981556832814416</v>
      </c>
      <c r="CP17" s="53">
        <f t="shared" si="159"/>
        <v>0</v>
      </c>
      <c r="CQ17" s="132">
        <f t="shared" si="160"/>
        <v>0</v>
      </c>
      <c r="CR17" s="76" t="s">
        <v>8</v>
      </c>
      <c r="CS17" s="30" t="s">
        <v>8</v>
      </c>
      <c r="CT17" s="35">
        <f t="shared" si="161"/>
        <v>1.1539131367117141</v>
      </c>
      <c r="CU17" s="33">
        <f t="shared" si="162"/>
        <v>-0.17981556832814416</v>
      </c>
      <c r="CV17" s="53">
        <f t="shared" si="163"/>
        <v>0</v>
      </c>
      <c r="CW17" s="132">
        <f t="shared" si="164"/>
        <v>0</v>
      </c>
      <c r="CX17" s="76" t="s">
        <v>8</v>
      </c>
      <c r="CY17" s="30" t="s">
        <v>8</v>
      </c>
      <c r="CZ17" s="35">
        <f t="shared" si="165"/>
        <v>1.1539131367117141</v>
      </c>
      <c r="DA17" s="33">
        <f t="shared" si="166"/>
        <v>-0.17981556832814416</v>
      </c>
      <c r="DB17" s="53">
        <f t="shared" si="167"/>
        <v>0</v>
      </c>
      <c r="DC17" s="132">
        <f t="shared" si="168"/>
        <v>0</v>
      </c>
      <c r="DD17" s="76" t="s">
        <v>8</v>
      </c>
      <c r="DE17" s="30" t="s">
        <v>8</v>
      </c>
      <c r="DF17" s="35">
        <f t="shared" si="169"/>
        <v>1.1539131367117141</v>
      </c>
      <c r="DG17" s="33">
        <f t="shared" si="170"/>
        <v>-0.17981556832814416</v>
      </c>
      <c r="DH17" s="53">
        <f t="shared" si="171"/>
        <v>0</v>
      </c>
      <c r="DI17" s="132">
        <f t="shared" si="172"/>
        <v>0</v>
      </c>
      <c r="DJ17" s="76" t="s">
        <v>8</v>
      </c>
      <c r="DK17" s="30" t="s">
        <v>8</v>
      </c>
      <c r="DL17" s="35">
        <f t="shared" si="173"/>
        <v>1.1539131367117141</v>
      </c>
      <c r="DM17" s="51">
        <f t="shared" si="174"/>
        <v>-0.17981556832814416</v>
      </c>
      <c r="DN17" s="53">
        <f t="shared" si="175"/>
        <v>0</v>
      </c>
      <c r="DO17" s="132">
        <f t="shared" si="176"/>
        <v>0</v>
      </c>
      <c r="DP17" s="76" t="s">
        <v>8</v>
      </c>
      <c r="DQ17" s="30" t="s">
        <v>8</v>
      </c>
      <c r="DR17" s="35">
        <f t="shared" si="177"/>
        <v>1.1539131367117141</v>
      </c>
      <c r="DS17" s="51">
        <f t="shared" si="178"/>
        <v>-0.17981556832814416</v>
      </c>
      <c r="DT17" s="53">
        <f t="shared" si="227"/>
        <v>0</v>
      </c>
      <c r="DU17" s="132">
        <f t="shared" si="179"/>
        <v>0</v>
      </c>
      <c r="DV17" s="76" t="s">
        <v>8</v>
      </c>
      <c r="DW17" s="30" t="s">
        <v>8</v>
      </c>
      <c r="DX17" s="35">
        <f t="shared" si="180"/>
        <v>1.1539131367117141</v>
      </c>
      <c r="DY17" s="33">
        <f t="shared" si="181"/>
        <v>-0.17981556832814416</v>
      </c>
      <c r="DZ17" s="34">
        <f t="shared" si="182"/>
        <v>0</v>
      </c>
      <c r="EA17" s="80">
        <f t="shared" si="183"/>
        <v>0</v>
      </c>
      <c r="EB17" s="76" t="s">
        <v>8</v>
      </c>
      <c r="EC17" s="30" t="s">
        <v>8</v>
      </c>
      <c r="ED17" s="35">
        <f t="shared" si="184"/>
        <v>1.1539131367117141</v>
      </c>
      <c r="EE17" s="33">
        <f t="shared" si="185"/>
        <v>-0.17981556832814416</v>
      </c>
      <c r="EF17" s="34">
        <f t="shared" si="186"/>
        <v>0</v>
      </c>
      <c r="EG17" s="80">
        <f t="shared" si="187"/>
        <v>0</v>
      </c>
      <c r="EH17" s="76" t="s">
        <v>8</v>
      </c>
      <c r="EI17" s="30" t="s">
        <v>8</v>
      </c>
      <c r="EJ17" s="35">
        <f t="shared" si="188"/>
        <v>1.1539131367117141</v>
      </c>
      <c r="EK17" s="33">
        <f t="shared" si="189"/>
        <v>-0.17981556832814416</v>
      </c>
      <c r="EL17" s="34">
        <f t="shared" si="190"/>
        <v>0</v>
      </c>
      <c r="EM17" s="80">
        <f t="shared" si="191"/>
        <v>0</v>
      </c>
      <c r="EN17" s="76" t="s">
        <v>8</v>
      </c>
      <c r="EO17" s="30" t="s">
        <v>8</v>
      </c>
      <c r="EP17" s="35">
        <f t="shared" si="192"/>
        <v>1.1539131367117141</v>
      </c>
      <c r="EQ17" s="51">
        <f t="shared" si="193"/>
        <v>-0.17981556832814416</v>
      </c>
      <c r="ER17" s="34">
        <f t="shared" si="194"/>
        <v>0</v>
      </c>
      <c r="ES17" s="80">
        <f t="shared" si="195"/>
        <v>0</v>
      </c>
      <c r="ET17" s="76" t="s">
        <v>8</v>
      </c>
      <c r="EU17" s="30" t="s">
        <v>8</v>
      </c>
      <c r="EV17" s="35">
        <f t="shared" si="196"/>
        <v>1.1539131367117141</v>
      </c>
      <c r="EW17" s="33">
        <f t="shared" si="197"/>
        <v>-0.17981556832814416</v>
      </c>
      <c r="EX17" s="34">
        <f t="shared" si="198"/>
        <v>0</v>
      </c>
      <c r="EY17" s="80">
        <f t="shared" si="199"/>
        <v>0</v>
      </c>
      <c r="EZ17" s="76" t="s">
        <v>8</v>
      </c>
      <c r="FA17" s="30" t="s">
        <v>8</v>
      </c>
      <c r="FB17" s="35">
        <f t="shared" si="200"/>
        <v>1.1539131367117141</v>
      </c>
      <c r="FC17" s="33">
        <f t="shared" si="201"/>
        <v>-0.17981556832814416</v>
      </c>
      <c r="FD17" s="34">
        <f t="shared" si="202"/>
        <v>0</v>
      </c>
      <c r="FE17" s="80">
        <f t="shared" si="203"/>
        <v>0</v>
      </c>
      <c r="FF17" s="76" t="s">
        <v>8</v>
      </c>
      <c r="FG17" s="30" t="s">
        <v>8</v>
      </c>
      <c r="FH17" s="35">
        <f t="shared" si="204"/>
        <v>1.1539131367117141</v>
      </c>
      <c r="FI17" s="33">
        <f t="shared" si="205"/>
        <v>-0.17981556832814416</v>
      </c>
      <c r="FJ17" s="34">
        <f t="shared" si="206"/>
        <v>0</v>
      </c>
      <c r="FK17" s="80">
        <f t="shared" si="207"/>
        <v>0</v>
      </c>
      <c r="FL17" s="76" t="s">
        <v>8</v>
      </c>
      <c r="FM17" s="30" t="s">
        <v>8</v>
      </c>
      <c r="FN17" s="35">
        <f t="shared" si="208"/>
        <v>1.1539131367117141</v>
      </c>
      <c r="FO17" s="33">
        <f t="shared" si="209"/>
        <v>-0.17981556832814416</v>
      </c>
      <c r="FP17" s="34">
        <f t="shared" si="210"/>
        <v>0</v>
      </c>
      <c r="FQ17" s="80">
        <f t="shared" si="211"/>
        <v>0</v>
      </c>
      <c r="FR17" s="76" t="s">
        <v>8</v>
      </c>
      <c r="FS17" s="30" t="s">
        <v>8</v>
      </c>
      <c r="FT17" s="35">
        <f t="shared" si="212"/>
        <v>1.1539131367117141</v>
      </c>
      <c r="FU17" s="33">
        <f t="shared" si="213"/>
        <v>-0.17981556832814416</v>
      </c>
      <c r="FV17" s="34">
        <f t="shared" si="214"/>
        <v>0</v>
      </c>
      <c r="FW17" s="80">
        <f t="shared" si="215"/>
        <v>0</v>
      </c>
      <c r="FX17" s="76" t="s">
        <v>8</v>
      </c>
      <c r="FY17" s="30" t="s">
        <v>8</v>
      </c>
      <c r="FZ17" s="35">
        <f t="shared" si="216"/>
        <v>1.1539131367117141</v>
      </c>
      <c r="GA17" s="33">
        <f t="shared" si="217"/>
        <v>-0.17981556832814416</v>
      </c>
      <c r="GB17" s="34">
        <f t="shared" si="218"/>
        <v>0</v>
      </c>
      <c r="GC17" s="80">
        <f t="shared" si="219"/>
        <v>0</v>
      </c>
      <c r="GD17" s="76" t="s">
        <v>8</v>
      </c>
      <c r="GE17" s="30" t="s">
        <v>8</v>
      </c>
      <c r="GF17" s="35">
        <f t="shared" si="220"/>
        <v>1.1539131367117141</v>
      </c>
      <c r="GG17" s="33">
        <f t="shared" si="221"/>
        <v>-0.17981556832814416</v>
      </c>
      <c r="GH17" s="34">
        <f t="shared" si="222"/>
        <v>0</v>
      </c>
      <c r="GI17" s="132">
        <f t="shared" si="223"/>
        <v>0</v>
      </c>
      <c r="GJ17" s="168">
        <f t="shared" si="228"/>
        <v>1413495.8654787769</v>
      </c>
      <c r="GK17" s="104">
        <f t="shared" si="224"/>
        <v>2229114.3763000062</v>
      </c>
      <c r="GL17" s="86">
        <f t="shared" si="225"/>
        <v>1.1539131367117141</v>
      </c>
      <c r="GN17" s="214">
        <v>2229114.38</v>
      </c>
    </row>
    <row r="18" spans="1:196" s="25" customFormat="1" ht="30" x14ac:dyDescent="0.25">
      <c r="A18" s="184" t="s">
        <v>182</v>
      </c>
      <c r="B18" s="155" t="s">
        <v>8</v>
      </c>
      <c r="C18" s="155" t="s">
        <v>8</v>
      </c>
      <c r="D18" s="155" t="s">
        <v>8</v>
      </c>
      <c r="E18" s="155" t="s">
        <v>8</v>
      </c>
      <c r="F18" s="155" t="s">
        <v>8</v>
      </c>
      <c r="G18" s="113">
        <f>'Исходные данные 25 г.'!C20</f>
        <v>180</v>
      </c>
      <c r="H18" s="31">
        <f>'Исходные данные 25 г.'!D20</f>
        <v>83430</v>
      </c>
      <c r="I18" s="32">
        <f>'Расчет КРП'!H16</f>
        <v>6.6587348099939305</v>
      </c>
      <c r="J18" s="120" t="s">
        <v>8</v>
      </c>
      <c r="K18" s="124">
        <f t="shared" si="104"/>
        <v>0.11528220833942208</v>
      </c>
      <c r="L18" s="77">
        <f t="shared" si="105"/>
        <v>218794.83151687231</v>
      </c>
      <c r="M18" s="73">
        <f t="shared" si="106"/>
        <v>0.41760932509019311</v>
      </c>
      <c r="N18" s="30" t="s">
        <v>8</v>
      </c>
      <c r="O18" s="33">
        <f t="shared" si="107"/>
        <v>9.0718566821019642E-2</v>
      </c>
      <c r="P18" s="34">
        <f t="shared" si="226"/>
        <v>197820.82214493136</v>
      </c>
      <c r="Q18" s="80">
        <f t="shared" si="108"/>
        <v>197820.82214493136</v>
      </c>
      <c r="R18" s="160" t="s">
        <v>8</v>
      </c>
      <c r="S18" s="30" t="s">
        <v>8</v>
      </c>
      <c r="T18" s="35">
        <f t="shared" si="109"/>
        <v>0.69095489901309526</v>
      </c>
      <c r="U18" s="33">
        <f t="shared" si="110"/>
        <v>3.6513922728940718E-2</v>
      </c>
      <c r="V18" s="53">
        <f t="shared" si="111"/>
        <v>95921.883383970751</v>
      </c>
      <c r="W18" s="80">
        <f t="shared" si="112"/>
        <v>95921.883383970751</v>
      </c>
      <c r="X18" s="76" t="s">
        <v>8</v>
      </c>
      <c r="Y18" s="30" t="s">
        <v>8</v>
      </c>
      <c r="Z18" s="35">
        <f t="shared" si="113"/>
        <v>0.82349818733361158</v>
      </c>
      <c r="AA18" s="33">
        <f t="shared" si="114"/>
        <v>2.0007166823463374E-2</v>
      </c>
      <c r="AB18" s="53">
        <f t="shared" si="115"/>
        <v>64036.259114340908</v>
      </c>
      <c r="AC18" s="80">
        <f t="shared" si="116"/>
        <v>64036.259114340908</v>
      </c>
      <c r="AD18" s="76" t="s">
        <v>8</v>
      </c>
      <c r="AE18" s="30" t="s">
        <v>8</v>
      </c>
      <c r="AF18" s="35">
        <f t="shared" si="117"/>
        <v>0.91198244197219069</v>
      </c>
      <c r="AG18" s="33">
        <f t="shared" si="118"/>
        <v>2.8283843220900051E-2</v>
      </c>
      <c r="AH18" s="53">
        <f t="shared" si="119"/>
        <v>96254.621346439817</v>
      </c>
      <c r="AI18" s="80">
        <f t="shared" si="120"/>
        <v>36264.334010995408</v>
      </c>
      <c r="AJ18" s="76" t="s">
        <v>8</v>
      </c>
      <c r="AK18" s="30" t="s">
        <v>8</v>
      </c>
      <c r="AL18" s="35">
        <f t="shared" si="121"/>
        <v>0.96209190509991427</v>
      </c>
      <c r="AM18" s="33">
        <f t="shared" si="122"/>
        <v>1.200566328365571E-2</v>
      </c>
      <c r="AN18" s="53">
        <f t="shared" si="123"/>
        <v>41690.435541456158</v>
      </c>
      <c r="AO18" s="80">
        <f t="shared" si="124"/>
        <v>0</v>
      </c>
      <c r="AP18" s="76" t="s">
        <v>8</v>
      </c>
      <c r="AQ18" s="30" t="s">
        <v>8</v>
      </c>
      <c r="AR18" s="35">
        <f t="shared" si="125"/>
        <v>0.96209190509991427</v>
      </c>
      <c r="AS18" s="33">
        <f t="shared" si="126"/>
        <v>1.200566328365571E-2</v>
      </c>
      <c r="AT18" s="53">
        <f t="shared" si="127"/>
        <v>41690.435541456158</v>
      </c>
      <c r="AU18" s="80">
        <f t="shared" si="128"/>
        <v>0</v>
      </c>
      <c r="AV18" s="76" t="s">
        <v>8</v>
      </c>
      <c r="AW18" s="30" t="s">
        <v>8</v>
      </c>
      <c r="AX18" s="35">
        <f t="shared" si="129"/>
        <v>0.96209190509991427</v>
      </c>
      <c r="AY18" s="33">
        <f t="shared" si="130"/>
        <v>1.200566328365571E-2</v>
      </c>
      <c r="AZ18" s="53">
        <f t="shared" si="131"/>
        <v>41690.435541456158</v>
      </c>
      <c r="BA18" s="80">
        <f t="shared" si="132"/>
        <v>0</v>
      </c>
      <c r="BB18" s="76" t="s">
        <v>8</v>
      </c>
      <c r="BC18" s="30" t="s">
        <v>8</v>
      </c>
      <c r="BD18" s="35">
        <f t="shared" si="133"/>
        <v>0.96209190509991427</v>
      </c>
      <c r="BE18" s="33">
        <f t="shared" si="134"/>
        <v>1.200566328365571E-2</v>
      </c>
      <c r="BF18" s="53">
        <f t="shared" si="135"/>
        <v>41690.435541456158</v>
      </c>
      <c r="BG18" s="80">
        <f t="shared" si="136"/>
        <v>0</v>
      </c>
      <c r="BH18" s="76" t="s">
        <v>8</v>
      </c>
      <c r="BI18" s="30" t="s">
        <v>8</v>
      </c>
      <c r="BJ18" s="35">
        <f t="shared" si="137"/>
        <v>0.96209190509991427</v>
      </c>
      <c r="BK18" s="33">
        <f t="shared" si="138"/>
        <v>1.200566328365571E-2</v>
      </c>
      <c r="BL18" s="53">
        <f t="shared" si="139"/>
        <v>41690.435541456158</v>
      </c>
      <c r="BM18" s="80">
        <f t="shared" si="140"/>
        <v>0</v>
      </c>
      <c r="BN18" s="76" t="s">
        <v>8</v>
      </c>
      <c r="BO18" s="30" t="s">
        <v>8</v>
      </c>
      <c r="BP18" s="35">
        <f t="shared" si="141"/>
        <v>0.96209190509991427</v>
      </c>
      <c r="BQ18" s="33">
        <f t="shared" si="142"/>
        <v>1.200566328365571E-2</v>
      </c>
      <c r="BR18" s="53">
        <f t="shared" si="143"/>
        <v>41690.435541456158</v>
      </c>
      <c r="BS18" s="132">
        <f t="shared" si="144"/>
        <v>0</v>
      </c>
      <c r="BT18" s="76" t="s">
        <v>8</v>
      </c>
      <c r="BU18" s="30" t="s">
        <v>8</v>
      </c>
      <c r="BV18" s="35">
        <f t="shared" si="145"/>
        <v>0.96209190509991427</v>
      </c>
      <c r="BW18" s="33">
        <f t="shared" si="146"/>
        <v>1.200566328365571E-2</v>
      </c>
      <c r="BX18" s="53">
        <f t="shared" si="147"/>
        <v>41690.435541456158</v>
      </c>
      <c r="BY18" s="132">
        <f t="shared" si="148"/>
        <v>0</v>
      </c>
      <c r="BZ18" s="76" t="s">
        <v>8</v>
      </c>
      <c r="CA18" s="30" t="s">
        <v>8</v>
      </c>
      <c r="CB18" s="35">
        <f t="shared" si="149"/>
        <v>0.96209190509991427</v>
      </c>
      <c r="CC18" s="33">
        <f t="shared" si="150"/>
        <v>1.200566328365571E-2</v>
      </c>
      <c r="CD18" s="53">
        <f t="shared" si="151"/>
        <v>41690.435541456158</v>
      </c>
      <c r="CE18" s="132">
        <f t="shared" si="152"/>
        <v>0</v>
      </c>
      <c r="CF18" s="76" t="s">
        <v>8</v>
      </c>
      <c r="CG18" s="30" t="s">
        <v>8</v>
      </c>
      <c r="CH18" s="35">
        <f t="shared" si="153"/>
        <v>0.96209190509991427</v>
      </c>
      <c r="CI18" s="33">
        <f t="shared" si="154"/>
        <v>1.200566328365571E-2</v>
      </c>
      <c r="CJ18" s="53">
        <f t="shared" si="155"/>
        <v>41690.435541456158</v>
      </c>
      <c r="CK18" s="132">
        <f t="shared" si="156"/>
        <v>0</v>
      </c>
      <c r="CL18" s="76" t="s">
        <v>8</v>
      </c>
      <c r="CM18" s="30" t="s">
        <v>8</v>
      </c>
      <c r="CN18" s="35">
        <f t="shared" si="157"/>
        <v>0.96209190509991427</v>
      </c>
      <c r="CO18" s="33">
        <f t="shared" si="158"/>
        <v>1.200566328365571E-2</v>
      </c>
      <c r="CP18" s="53">
        <f t="shared" si="159"/>
        <v>41690.435541456158</v>
      </c>
      <c r="CQ18" s="132">
        <f t="shared" si="160"/>
        <v>0</v>
      </c>
      <c r="CR18" s="76" t="s">
        <v>8</v>
      </c>
      <c r="CS18" s="30" t="s">
        <v>8</v>
      </c>
      <c r="CT18" s="35">
        <f t="shared" si="161"/>
        <v>0.96209190509991427</v>
      </c>
      <c r="CU18" s="33">
        <f t="shared" si="162"/>
        <v>1.200566328365571E-2</v>
      </c>
      <c r="CV18" s="53">
        <f t="shared" si="163"/>
        <v>41690.435541456158</v>
      </c>
      <c r="CW18" s="132">
        <f t="shared" si="164"/>
        <v>0</v>
      </c>
      <c r="CX18" s="76" t="s">
        <v>8</v>
      </c>
      <c r="CY18" s="30" t="s">
        <v>8</v>
      </c>
      <c r="CZ18" s="35">
        <f t="shared" si="165"/>
        <v>0.96209190509991427</v>
      </c>
      <c r="DA18" s="33">
        <f t="shared" si="166"/>
        <v>1.200566328365571E-2</v>
      </c>
      <c r="DB18" s="53">
        <f t="shared" si="167"/>
        <v>41690.435541456158</v>
      </c>
      <c r="DC18" s="132">
        <f t="shared" si="168"/>
        <v>0</v>
      </c>
      <c r="DD18" s="76" t="s">
        <v>8</v>
      </c>
      <c r="DE18" s="30" t="s">
        <v>8</v>
      </c>
      <c r="DF18" s="35">
        <f t="shared" si="169"/>
        <v>0.96209190509991427</v>
      </c>
      <c r="DG18" s="33">
        <f t="shared" si="170"/>
        <v>1.200566328365571E-2</v>
      </c>
      <c r="DH18" s="53">
        <f t="shared" si="171"/>
        <v>41690.435541456158</v>
      </c>
      <c r="DI18" s="132">
        <f t="shared" si="172"/>
        <v>0</v>
      </c>
      <c r="DJ18" s="76" t="s">
        <v>8</v>
      </c>
      <c r="DK18" s="30" t="s">
        <v>8</v>
      </c>
      <c r="DL18" s="35">
        <f t="shared" si="173"/>
        <v>0.96209190509991427</v>
      </c>
      <c r="DM18" s="51">
        <f t="shared" si="174"/>
        <v>1.200566328365571E-2</v>
      </c>
      <c r="DN18" s="53">
        <f t="shared" si="175"/>
        <v>41690.435541456158</v>
      </c>
      <c r="DO18" s="132">
        <f t="shared" si="176"/>
        <v>0</v>
      </c>
      <c r="DP18" s="76" t="s">
        <v>8</v>
      </c>
      <c r="DQ18" s="30" t="s">
        <v>8</v>
      </c>
      <c r="DR18" s="35">
        <f t="shared" si="177"/>
        <v>0.96209190509991427</v>
      </c>
      <c r="DS18" s="51">
        <f t="shared" si="178"/>
        <v>1.200566328365571E-2</v>
      </c>
      <c r="DT18" s="53">
        <f t="shared" si="227"/>
        <v>41690.435541456158</v>
      </c>
      <c r="DU18" s="132">
        <f t="shared" si="179"/>
        <v>0</v>
      </c>
      <c r="DV18" s="76" t="s">
        <v>8</v>
      </c>
      <c r="DW18" s="30" t="s">
        <v>8</v>
      </c>
      <c r="DX18" s="35">
        <f t="shared" si="180"/>
        <v>0.96209190509991427</v>
      </c>
      <c r="DY18" s="33">
        <f t="shared" si="181"/>
        <v>1.200566328365571E-2</v>
      </c>
      <c r="DZ18" s="34">
        <f t="shared" si="182"/>
        <v>41690.435541456158</v>
      </c>
      <c r="EA18" s="80">
        <f t="shared" si="183"/>
        <v>0</v>
      </c>
      <c r="EB18" s="76" t="s">
        <v>8</v>
      </c>
      <c r="EC18" s="30" t="s">
        <v>8</v>
      </c>
      <c r="ED18" s="35">
        <f t="shared" si="184"/>
        <v>0.96209190509991427</v>
      </c>
      <c r="EE18" s="33">
        <f t="shared" si="185"/>
        <v>1.200566328365571E-2</v>
      </c>
      <c r="EF18" s="34">
        <f t="shared" si="186"/>
        <v>41690.435541456158</v>
      </c>
      <c r="EG18" s="80">
        <f t="shared" si="187"/>
        <v>0</v>
      </c>
      <c r="EH18" s="76" t="s">
        <v>8</v>
      </c>
      <c r="EI18" s="30" t="s">
        <v>8</v>
      </c>
      <c r="EJ18" s="35">
        <f t="shared" si="188"/>
        <v>0.96209190509991427</v>
      </c>
      <c r="EK18" s="33">
        <f t="shared" si="189"/>
        <v>1.200566328365571E-2</v>
      </c>
      <c r="EL18" s="34">
        <f t="shared" si="190"/>
        <v>41690.435541456158</v>
      </c>
      <c r="EM18" s="80">
        <f t="shared" si="191"/>
        <v>0</v>
      </c>
      <c r="EN18" s="76" t="s">
        <v>8</v>
      </c>
      <c r="EO18" s="30" t="s">
        <v>8</v>
      </c>
      <c r="EP18" s="35">
        <f t="shared" si="192"/>
        <v>0.96209190509991427</v>
      </c>
      <c r="EQ18" s="51">
        <f t="shared" si="193"/>
        <v>1.200566328365571E-2</v>
      </c>
      <c r="ER18" s="34">
        <f t="shared" si="194"/>
        <v>41690.435541456158</v>
      </c>
      <c r="ES18" s="80">
        <f t="shared" si="195"/>
        <v>0</v>
      </c>
      <c r="ET18" s="76" t="s">
        <v>8</v>
      </c>
      <c r="EU18" s="30" t="s">
        <v>8</v>
      </c>
      <c r="EV18" s="35">
        <f t="shared" si="196"/>
        <v>0.96209190509991427</v>
      </c>
      <c r="EW18" s="33">
        <f t="shared" si="197"/>
        <v>1.200566328365571E-2</v>
      </c>
      <c r="EX18" s="34">
        <f t="shared" si="198"/>
        <v>41690.435541456158</v>
      </c>
      <c r="EY18" s="80">
        <f t="shared" si="199"/>
        <v>0</v>
      </c>
      <c r="EZ18" s="76" t="s">
        <v>8</v>
      </c>
      <c r="FA18" s="30" t="s">
        <v>8</v>
      </c>
      <c r="FB18" s="35">
        <f t="shared" si="200"/>
        <v>0.96209190509991427</v>
      </c>
      <c r="FC18" s="33">
        <f t="shared" si="201"/>
        <v>1.200566328365571E-2</v>
      </c>
      <c r="FD18" s="34">
        <f t="shared" si="202"/>
        <v>41690.435541456158</v>
      </c>
      <c r="FE18" s="80">
        <f t="shared" si="203"/>
        <v>0</v>
      </c>
      <c r="FF18" s="76" t="s">
        <v>8</v>
      </c>
      <c r="FG18" s="30" t="s">
        <v>8</v>
      </c>
      <c r="FH18" s="35">
        <f t="shared" si="204"/>
        <v>0.96209190509991427</v>
      </c>
      <c r="FI18" s="33">
        <f t="shared" si="205"/>
        <v>1.200566328365571E-2</v>
      </c>
      <c r="FJ18" s="34">
        <f t="shared" si="206"/>
        <v>41690.435541456158</v>
      </c>
      <c r="FK18" s="80">
        <f t="shared" si="207"/>
        <v>0</v>
      </c>
      <c r="FL18" s="76" t="s">
        <v>8</v>
      </c>
      <c r="FM18" s="30" t="s">
        <v>8</v>
      </c>
      <c r="FN18" s="35">
        <f t="shared" si="208"/>
        <v>0.96209190509991427</v>
      </c>
      <c r="FO18" s="33">
        <f t="shared" si="209"/>
        <v>1.200566328365571E-2</v>
      </c>
      <c r="FP18" s="34">
        <f t="shared" si="210"/>
        <v>41690.435541456158</v>
      </c>
      <c r="FQ18" s="80">
        <f t="shared" si="211"/>
        <v>0</v>
      </c>
      <c r="FR18" s="76" t="s">
        <v>8</v>
      </c>
      <c r="FS18" s="30" t="s">
        <v>8</v>
      </c>
      <c r="FT18" s="35">
        <f t="shared" si="212"/>
        <v>0.96209190509991427</v>
      </c>
      <c r="FU18" s="33">
        <f t="shared" si="213"/>
        <v>1.200566328365571E-2</v>
      </c>
      <c r="FV18" s="34">
        <f t="shared" si="214"/>
        <v>41690.435541456158</v>
      </c>
      <c r="FW18" s="80">
        <f t="shared" si="215"/>
        <v>0</v>
      </c>
      <c r="FX18" s="76" t="s">
        <v>8</v>
      </c>
      <c r="FY18" s="30" t="s">
        <v>8</v>
      </c>
      <c r="FZ18" s="35">
        <f t="shared" si="216"/>
        <v>0.96209190509991427</v>
      </c>
      <c r="GA18" s="33">
        <f t="shared" si="217"/>
        <v>1.200566328365571E-2</v>
      </c>
      <c r="GB18" s="34">
        <f t="shared" si="218"/>
        <v>41690.435541456158</v>
      </c>
      <c r="GC18" s="80">
        <f t="shared" si="219"/>
        <v>0</v>
      </c>
      <c r="GD18" s="76" t="s">
        <v>8</v>
      </c>
      <c r="GE18" s="30" t="s">
        <v>8</v>
      </c>
      <c r="GF18" s="35">
        <f t="shared" si="220"/>
        <v>0.96209190509991427</v>
      </c>
      <c r="GG18" s="33">
        <f t="shared" si="221"/>
        <v>1.200566328365571E-2</v>
      </c>
      <c r="GH18" s="34">
        <f t="shared" si="222"/>
        <v>41690.435541456158</v>
      </c>
      <c r="GI18" s="132">
        <f t="shared" si="223"/>
        <v>0</v>
      </c>
      <c r="GJ18" s="168">
        <f t="shared" si="228"/>
        <v>394043.2986542384</v>
      </c>
      <c r="GK18" s="104">
        <f t="shared" si="224"/>
        <v>612838.13017111074</v>
      </c>
      <c r="GL18" s="86">
        <f t="shared" si="225"/>
        <v>0.96209190509991427</v>
      </c>
      <c r="GN18" s="214">
        <v>612838.13</v>
      </c>
    </row>
    <row r="19" spans="1:196" s="25" customFormat="1" ht="30" x14ac:dyDescent="0.25">
      <c r="A19" s="184" t="s">
        <v>183</v>
      </c>
      <c r="B19" s="155" t="s">
        <v>8</v>
      </c>
      <c r="C19" s="155" t="s">
        <v>8</v>
      </c>
      <c r="D19" s="155" t="s">
        <v>8</v>
      </c>
      <c r="E19" s="155" t="s">
        <v>8</v>
      </c>
      <c r="F19" s="155" t="s">
        <v>8</v>
      </c>
      <c r="G19" s="113">
        <f>'Исходные данные 25 г.'!C21</f>
        <v>4810</v>
      </c>
      <c r="H19" s="31">
        <f>'Исходные данные 25 г.'!D21</f>
        <v>3955560</v>
      </c>
      <c r="I19" s="32">
        <f>'Расчет КРП'!H17</f>
        <v>3.6657593688362917</v>
      </c>
      <c r="J19" s="120" t="s">
        <v>8</v>
      </c>
      <c r="K19" s="124">
        <f t="shared" si="104"/>
        <v>0.37153797928061455</v>
      </c>
      <c r="L19" s="77">
        <f t="shared" si="105"/>
        <v>5846684.1088675326</v>
      </c>
      <c r="M19" s="73">
        <f t="shared" si="106"/>
        <v>0.92070553060096472</v>
      </c>
      <c r="N19" s="30" t="s">
        <v>8</v>
      </c>
      <c r="O19" s="33">
        <f t="shared" si="107"/>
        <v>-0.41237763868975197</v>
      </c>
      <c r="P19" s="34">
        <f t="shared" si="226"/>
        <v>0</v>
      </c>
      <c r="Q19" s="80">
        <f t="shared" si="108"/>
        <v>0</v>
      </c>
      <c r="R19" s="160" t="s">
        <v>8</v>
      </c>
      <c r="S19" s="30" t="s">
        <v>8</v>
      </c>
      <c r="T19" s="35">
        <f t="shared" si="109"/>
        <v>0.92070553060096472</v>
      </c>
      <c r="U19" s="33">
        <f t="shared" si="110"/>
        <v>-0.19323670885892874</v>
      </c>
      <c r="V19" s="53">
        <f t="shared" si="111"/>
        <v>0</v>
      </c>
      <c r="W19" s="80">
        <f t="shared" si="112"/>
        <v>0</v>
      </c>
      <c r="X19" s="76" t="s">
        <v>8</v>
      </c>
      <c r="Y19" s="30" t="s">
        <v>8</v>
      </c>
      <c r="Z19" s="35">
        <f t="shared" si="113"/>
        <v>0.92070553060096472</v>
      </c>
      <c r="AA19" s="33">
        <f t="shared" si="114"/>
        <v>-7.7200176443889768E-2</v>
      </c>
      <c r="AB19" s="53">
        <f t="shared" si="115"/>
        <v>0</v>
      </c>
      <c r="AC19" s="80">
        <f t="shared" si="116"/>
        <v>0</v>
      </c>
      <c r="AD19" s="76" t="s">
        <v>8</v>
      </c>
      <c r="AE19" s="30" t="s">
        <v>8</v>
      </c>
      <c r="AF19" s="35">
        <f t="shared" si="117"/>
        <v>0.92070553060096472</v>
      </c>
      <c r="AG19" s="33">
        <f t="shared" si="118"/>
        <v>1.9560754592126028E-2</v>
      </c>
      <c r="AH19" s="53">
        <f t="shared" si="119"/>
        <v>979295.09332290059</v>
      </c>
      <c r="AI19" s="80">
        <f t="shared" si="120"/>
        <v>368953.55114192783</v>
      </c>
      <c r="AJ19" s="76" t="s">
        <v>8</v>
      </c>
      <c r="AK19" s="30" t="s">
        <v>8</v>
      </c>
      <c r="AL19" s="35">
        <f t="shared" si="121"/>
        <v>0.95536061277382489</v>
      </c>
      <c r="AM19" s="33">
        <f t="shared" si="122"/>
        <v>1.8736955609745087E-2</v>
      </c>
      <c r="AN19" s="53">
        <f t="shared" si="123"/>
        <v>957181.08256110968</v>
      </c>
      <c r="AO19" s="80">
        <f t="shared" si="124"/>
        <v>0</v>
      </c>
      <c r="AP19" s="76" t="s">
        <v>8</v>
      </c>
      <c r="AQ19" s="30" t="s">
        <v>8</v>
      </c>
      <c r="AR19" s="35">
        <f t="shared" si="125"/>
        <v>0.95536061277382489</v>
      </c>
      <c r="AS19" s="33">
        <f t="shared" si="126"/>
        <v>1.8736955609745087E-2</v>
      </c>
      <c r="AT19" s="53">
        <f t="shared" si="127"/>
        <v>957181.08256110968</v>
      </c>
      <c r="AU19" s="80">
        <f t="shared" si="128"/>
        <v>0</v>
      </c>
      <c r="AV19" s="76" t="s">
        <v>8</v>
      </c>
      <c r="AW19" s="30" t="s">
        <v>8</v>
      </c>
      <c r="AX19" s="35">
        <f t="shared" si="129"/>
        <v>0.95536061277382489</v>
      </c>
      <c r="AY19" s="33">
        <f t="shared" si="130"/>
        <v>1.8736955609745087E-2</v>
      </c>
      <c r="AZ19" s="53">
        <f t="shared" si="131"/>
        <v>957181.08256110968</v>
      </c>
      <c r="BA19" s="80">
        <f t="shared" si="132"/>
        <v>0</v>
      </c>
      <c r="BB19" s="76" t="s">
        <v>8</v>
      </c>
      <c r="BC19" s="30" t="s">
        <v>8</v>
      </c>
      <c r="BD19" s="35">
        <f t="shared" si="133"/>
        <v>0.95536061277382489</v>
      </c>
      <c r="BE19" s="33">
        <f t="shared" si="134"/>
        <v>1.8736955609745087E-2</v>
      </c>
      <c r="BF19" s="53">
        <f t="shared" si="135"/>
        <v>957181.08256110968</v>
      </c>
      <c r="BG19" s="80">
        <f t="shared" si="136"/>
        <v>0</v>
      </c>
      <c r="BH19" s="76" t="s">
        <v>8</v>
      </c>
      <c r="BI19" s="30" t="s">
        <v>8</v>
      </c>
      <c r="BJ19" s="35">
        <f t="shared" si="137"/>
        <v>0.95536061277382489</v>
      </c>
      <c r="BK19" s="33">
        <f t="shared" si="138"/>
        <v>1.8736955609745087E-2</v>
      </c>
      <c r="BL19" s="53">
        <f t="shared" si="139"/>
        <v>957181.08256110968</v>
      </c>
      <c r="BM19" s="80">
        <f t="shared" si="140"/>
        <v>0</v>
      </c>
      <c r="BN19" s="76" t="s">
        <v>8</v>
      </c>
      <c r="BO19" s="30" t="s">
        <v>8</v>
      </c>
      <c r="BP19" s="35">
        <f t="shared" si="141"/>
        <v>0.95536061277382489</v>
      </c>
      <c r="BQ19" s="33">
        <f t="shared" si="142"/>
        <v>1.8736955609745087E-2</v>
      </c>
      <c r="BR19" s="53">
        <f t="shared" si="143"/>
        <v>957181.08256110968</v>
      </c>
      <c r="BS19" s="132">
        <f t="shared" si="144"/>
        <v>0</v>
      </c>
      <c r="BT19" s="76" t="s">
        <v>8</v>
      </c>
      <c r="BU19" s="30" t="s">
        <v>8</v>
      </c>
      <c r="BV19" s="35">
        <f t="shared" si="145"/>
        <v>0.95536061277382489</v>
      </c>
      <c r="BW19" s="33">
        <f t="shared" si="146"/>
        <v>1.8736955609745087E-2</v>
      </c>
      <c r="BX19" s="53">
        <f t="shared" si="147"/>
        <v>957181.08256110968</v>
      </c>
      <c r="BY19" s="132">
        <f t="shared" si="148"/>
        <v>0</v>
      </c>
      <c r="BZ19" s="76" t="s">
        <v>8</v>
      </c>
      <c r="CA19" s="30" t="s">
        <v>8</v>
      </c>
      <c r="CB19" s="35">
        <f t="shared" si="149"/>
        <v>0.95536061277382489</v>
      </c>
      <c r="CC19" s="33">
        <f t="shared" si="150"/>
        <v>1.8736955609745087E-2</v>
      </c>
      <c r="CD19" s="53">
        <f t="shared" si="151"/>
        <v>957181.08256110968</v>
      </c>
      <c r="CE19" s="132">
        <f t="shared" si="152"/>
        <v>0</v>
      </c>
      <c r="CF19" s="76" t="s">
        <v>8</v>
      </c>
      <c r="CG19" s="30" t="s">
        <v>8</v>
      </c>
      <c r="CH19" s="35">
        <f t="shared" si="153"/>
        <v>0.95536061277382489</v>
      </c>
      <c r="CI19" s="33">
        <f t="shared" si="154"/>
        <v>1.8736955609745087E-2</v>
      </c>
      <c r="CJ19" s="53">
        <f t="shared" si="155"/>
        <v>957181.08256110968</v>
      </c>
      <c r="CK19" s="132">
        <f t="shared" si="156"/>
        <v>0</v>
      </c>
      <c r="CL19" s="76" t="s">
        <v>8</v>
      </c>
      <c r="CM19" s="30" t="s">
        <v>8</v>
      </c>
      <c r="CN19" s="35">
        <f t="shared" si="157"/>
        <v>0.95536061277382489</v>
      </c>
      <c r="CO19" s="33">
        <f t="shared" si="158"/>
        <v>1.8736955609745087E-2</v>
      </c>
      <c r="CP19" s="53">
        <f t="shared" si="159"/>
        <v>957181.08256110968</v>
      </c>
      <c r="CQ19" s="132">
        <f t="shared" si="160"/>
        <v>0</v>
      </c>
      <c r="CR19" s="76" t="s">
        <v>8</v>
      </c>
      <c r="CS19" s="30" t="s">
        <v>8</v>
      </c>
      <c r="CT19" s="35">
        <f t="shared" si="161"/>
        <v>0.95536061277382489</v>
      </c>
      <c r="CU19" s="33">
        <f t="shared" si="162"/>
        <v>1.8736955609745087E-2</v>
      </c>
      <c r="CV19" s="53">
        <f t="shared" si="163"/>
        <v>957181.08256110968</v>
      </c>
      <c r="CW19" s="132">
        <f t="shared" si="164"/>
        <v>0</v>
      </c>
      <c r="CX19" s="76" t="s">
        <v>8</v>
      </c>
      <c r="CY19" s="30" t="s">
        <v>8</v>
      </c>
      <c r="CZ19" s="35">
        <f t="shared" si="165"/>
        <v>0.95536061277382489</v>
      </c>
      <c r="DA19" s="33">
        <f t="shared" si="166"/>
        <v>1.8736955609745087E-2</v>
      </c>
      <c r="DB19" s="53">
        <f t="shared" si="167"/>
        <v>957181.08256110968</v>
      </c>
      <c r="DC19" s="132">
        <f t="shared" si="168"/>
        <v>0</v>
      </c>
      <c r="DD19" s="76" t="s">
        <v>8</v>
      </c>
      <c r="DE19" s="30" t="s">
        <v>8</v>
      </c>
      <c r="DF19" s="35">
        <f t="shared" si="169"/>
        <v>0.95536061277382489</v>
      </c>
      <c r="DG19" s="33">
        <f t="shared" si="170"/>
        <v>1.8736955609745087E-2</v>
      </c>
      <c r="DH19" s="53">
        <f t="shared" si="171"/>
        <v>957181.08256110968</v>
      </c>
      <c r="DI19" s="132">
        <f t="shared" si="172"/>
        <v>0</v>
      </c>
      <c r="DJ19" s="76" t="s">
        <v>8</v>
      </c>
      <c r="DK19" s="30" t="s">
        <v>8</v>
      </c>
      <c r="DL19" s="35">
        <f t="shared" si="173"/>
        <v>0.95536061277382489</v>
      </c>
      <c r="DM19" s="51">
        <f t="shared" si="174"/>
        <v>1.8736955609745087E-2</v>
      </c>
      <c r="DN19" s="53">
        <f t="shared" si="175"/>
        <v>957181.08256110968</v>
      </c>
      <c r="DO19" s="132">
        <f t="shared" si="176"/>
        <v>0</v>
      </c>
      <c r="DP19" s="76" t="s">
        <v>8</v>
      </c>
      <c r="DQ19" s="30" t="s">
        <v>8</v>
      </c>
      <c r="DR19" s="35">
        <f t="shared" si="177"/>
        <v>0.95536061277382489</v>
      </c>
      <c r="DS19" s="51">
        <f t="shared" si="178"/>
        <v>1.8736955609745087E-2</v>
      </c>
      <c r="DT19" s="53">
        <f t="shared" si="227"/>
        <v>957181.08256110968</v>
      </c>
      <c r="DU19" s="132">
        <f t="shared" si="179"/>
        <v>0</v>
      </c>
      <c r="DV19" s="76" t="s">
        <v>8</v>
      </c>
      <c r="DW19" s="30" t="s">
        <v>8</v>
      </c>
      <c r="DX19" s="35">
        <f t="shared" si="180"/>
        <v>0.95536061277382489</v>
      </c>
      <c r="DY19" s="33">
        <f t="shared" si="181"/>
        <v>1.8736955609745087E-2</v>
      </c>
      <c r="DZ19" s="34">
        <f t="shared" si="182"/>
        <v>957181.08256110968</v>
      </c>
      <c r="EA19" s="80">
        <f t="shared" si="183"/>
        <v>0</v>
      </c>
      <c r="EB19" s="76" t="s">
        <v>8</v>
      </c>
      <c r="EC19" s="30" t="s">
        <v>8</v>
      </c>
      <c r="ED19" s="35">
        <f t="shared" si="184"/>
        <v>0.95536061277382489</v>
      </c>
      <c r="EE19" s="33">
        <f t="shared" si="185"/>
        <v>1.8736955609745087E-2</v>
      </c>
      <c r="EF19" s="34">
        <f t="shared" si="186"/>
        <v>957181.08256110968</v>
      </c>
      <c r="EG19" s="80">
        <f t="shared" si="187"/>
        <v>0</v>
      </c>
      <c r="EH19" s="76" t="s">
        <v>8</v>
      </c>
      <c r="EI19" s="30" t="s">
        <v>8</v>
      </c>
      <c r="EJ19" s="35">
        <f t="shared" si="188"/>
        <v>0.95536061277382489</v>
      </c>
      <c r="EK19" s="33">
        <f t="shared" si="189"/>
        <v>1.8736955609745087E-2</v>
      </c>
      <c r="EL19" s="34">
        <f t="shared" si="190"/>
        <v>957181.08256110968</v>
      </c>
      <c r="EM19" s="80">
        <f t="shared" si="191"/>
        <v>0</v>
      </c>
      <c r="EN19" s="76" t="s">
        <v>8</v>
      </c>
      <c r="EO19" s="30" t="s">
        <v>8</v>
      </c>
      <c r="EP19" s="35">
        <f t="shared" si="192"/>
        <v>0.95536061277382489</v>
      </c>
      <c r="EQ19" s="51">
        <f t="shared" si="193"/>
        <v>1.8736955609745087E-2</v>
      </c>
      <c r="ER19" s="34">
        <f t="shared" si="194"/>
        <v>957181.08256110968</v>
      </c>
      <c r="ES19" s="80">
        <f t="shared" si="195"/>
        <v>0</v>
      </c>
      <c r="ET19" s="76" t="s">
        <v>8</v>
      </c>
      <c r="EU19" s="30" t="s">
        <v>8</v>
      </c>
      <c r="EV19" s="35">
        <f t="shared" si="196"/>
        <v>0.95536061277382489</v>
      </c>
      <c r="EW19" s="33">
        <f t="shared" si="197"/>
        <v>1.8736955609745087E-2</v>
      </c>
      <c r="EX19" s="34">
        <f t="shared" si="198"/>
        <v>957181.08256110968</v>
      </c>
      <c r="EY19" s="80">
        <f t="shared" si="199"/>
        <v>0</v>
      </c>
      <c r="EZ19" s="76" t="s">
        <v>8</v>
      </c>
      <c r="FA19" s="30" t="s">
        <v>8</v>
      </c>
      <c r="FB19" s="35">
        <f t="shared" si="200"/>
        <v>0.95536061277382489</v>
      </c>
      <c r="FC19" s="33">
        <f t="shared" si="201"/>
        <v>1.8736955609745087E-2</v>
      </c>
      <c r="FD19" s="34">
        <f t="shared" si="202"/>
        <v>957181.08256110968</v>
      </c>
      <c r="FE19" s="80">
        <f t="shared" si="203"/>
        <v>0</v>
      </c>
      <c r="FF19" s="76" t="s">
        <v>8</v>
      </c>
      <c r="FG19" s="30" t="s">
        <v>8</v>
      </c>
      <c r="FH19" s="35">
        <f t="shared" si="204"/>
        <v>0.95536061277382489</v>
      </c>
      <c r="FI19" s="33">
        <f t="shared" si="205"/>
        <v>1.8736955609745087E-2</v>
      </c>
      <c r="FJ19" s="34">
        <f t="shared" si="206"/>
        <v>957181.08256110968</v>
      </c>
      <c r="FK19" s="80">
        <f t="shared" si="207"/>
        <v>0</v>
      </c>
      <c r="FL19" s="76" t="s">
        <v>8</v>
      </c>
      <c r="FM19" s="30" t="s">
        <v>8</v>
      </c>
      <c r="FN19" s="35">
        <f t="shared" si="208"/>
        <v>0.95536061277382489</v>
      </c>
      <c r="FO19" s="33">
        <f t="shared" si="209"/>
        <v>1.8736955609745087E-2</v>
      </c>
      <c r="FP19" s="34">
        <f t="shared" si="210"/>
        <v>957181.08256110968</v>
      </c>
      <c r="FQ19" s="80">
        <f t="shared" si="211"/>
        <v>0</v>
      </c>
      <c r="FR19" s="76" t="s">
        <v>8</v>
      </c>
      <c r="FS19" s="30" t="s">
        <v>8</v>
      </c>
      <c r="FT19" s="35">
        <f t="shared" si="212"/>
        <v>0.95536061277382489</v>
      </c>
      <c r="FU19" s="33">
        <f t="shared" si="213"/>
        <v>1.8736955609745087E-2</v>
      </c>
      <c r="FV19" s="34">
        <f t="shared" si="214"/>
        <v>957181.08256110968</v>
      </c>
      <c r="FW19" s="80">
        <f t="shared" si="215"/>
        <v>0</v>
      </c>
      <c r="FX19" s="76" t="s">
        <v>8</v>
      </c>
      <c r="FY19" s="30" t="s">
        <v>8</v>
      </c>
      <c r="FZ19" s="35">
        <f t="shared" si="216"/>
        <v>0.95536061277382489</v>
      </c>
      <c r="GA19" s="33">
        <f t="shared" si="217"/>
        <v>1.8736955609745087E-2</v>
      </c>
      <c r="GB19" s="34">
        <f t="shared" si="218"/>
        <v>957181.08256110968</v>
      </c>
      <c r="GC19" s="80">
        <f t="shared" si="219"/>
        <v>0</v>
      </c>
      <c r="GD19" s="76" t="s">
        <v>8</v>
      </c>
      <c r="GE19" s="30" t="s">
        <v>8</v>
      </c>
      <c r="GF19" s="35">
        <f t="shared" si="220"/>
        <v>0.95536061277382489</v>
      </c>
      <c r="GG19" s="33">
        <f t="shared" si="221"/>
        <v>1.8736955609745087E-2</v>
      </c>
      <c r="GH19" s="34">
        <f t="shared" si="222"/>
        <v>957181.08256110968</v>
      </c>
      <c r="GI19" s="132">
        <f t="shared" si="223"/>
        <v>0</v>
      </c>
      <c r="GJ19" s="168">
        <f t="shared" si="228"/>
        <v>368953.55114192783</v>
      </c>
      <c r="GK19" s="104">
        <f t="shared" si="224"/>
        <v>6215637.6600094605</v>
      </c>
      <c r="GL19" s="86">
        <f t="shared" si="225"/>
        <v>0.95536061277382478</v>
      </c>
      <c r="GN19" s="214">
        <v>6215637.6600000001</v>
      </c>
    </row>
    <row r="20" spans="1:196" s="25" customFormat="1" ht="15.75" customHeight="1" x14ac:dyDescent="0.25">
      <c r="A20" s="184" t="s">
        <v>184</v>
      </c>
      <c r="B20" s="155" t="s">
        <v>8</v>
      </c>
      <c r="C20" s="155" t="s">
        <v>8</v>
      </c>
      <c r="D20" s="155" t="s">
        <v>8</v>
      </c>
      <c r="E20" s="155" t="s">
        <v>8</v>
      </c>
      <c r="F20" s="155" t="s">
        <v>8</v>
      </c>
      <c r="G20" s="113">
        <f>'Исходные данные 25 г.'!C22</f>
        <v>374</v>
      </c>
      <c r="H20" s="31">
        <f>'Исходные данные 25 г.'!D22</f>
        <v>127770</v>
      </c>
      <c r="I20" s="32">
        <f>'Расчет КРП'!H18</f>
        <v>5.6763197575879705</v>
      </c>
      <c r="J20" s="120" t="s">
        <v>8</v>
      </c>
      <c r="K20" s="124">
        <f t="shared" si="104"/>
        <v>9.9676942586836459E-2</v>
      </c>
      <c r="L20" s="77">
        <f t="shared" si="105"/>
        <v>454607.03881839028</v>
      </c>
      <c r="M20" s="73">
        <f t="shared" si="106"/>
        <v>0.45432857996550463</v>
      </c>
      <c r="N20" s="30" t="s">
        <v>8</v>
      </c>
      <c r="O20" s="33">
        <f t="shared" si="107"/>
        <v>5.3999311945708117E-2</v>
      </c>
      <c r="P20" s="34">
        <f t="shared" si="226"/>
        <v>208563.48645053466</v>
      </c>
      <c r="Q20" s="80">
        <f t="shared" si="108"/>
        <v>208563.48645053466</v>
      </c>
      <c r="R20" s="160" t="s">
        <v>8</v>
      </c>
      <c r="S20" s="30" t="s">
        <v>8</v>
      </c>
      <c r="T20" s="35">
        <f t="shared" si="109"/>
        <v>0.6170347759789695</v>
      </c>
      <c r="U20" s="33">
        <f t="shared" si="110"/>
        <v>0.11043404576306648</v>
      </c>
      <c r="V20" s="53">
        <f t="shared" si="111"/>
        <v>513850.06781469076</v>
      </c>
      <c r="W20" s="80">
        <f t="shared" si="112"/>
        <v>513850.06781469076</v>
      </c>
      <c r="X20" s="76" t="s">
        <v>8</v>
      </c>
      <c r="Y20" s="30" t="s">
        <v>8</v>
      </c>
      <c r="Z20" s="35">
        <f t="shared" si="113"/>
        <v>1.0179035535308749</v>
      </c>
      <c r="AA20" s="33">
        <f t="shared" si="114"/>
        <v>-0.17439819937379997</v>
      </c>
      <c r="AB20" s="53">
        <f t="shared" si="115"/>
        <v>0</v>
      </c>
      <c r="AC20" s="80">
        <f t="shared" si="116"/>
        <v>0</v>
      </c>
      <c r="AD20" s="76" t="s">
        <v>8</v>
      </c>
      <c r="AE20" s="30" t="s">
        <v>8</v>
      </c>
      <c r="AF20" s="35">
        <f t="shared" si="117"/>
        <v>1.0179035535308749</v>
      </c>
      <c r="AG20" s="33">
        <f t="shared" si="118"/>
        <v>-7.7637268337784171E-2</v>
      </c>
      <c r="AH20" s="53">
        <f t="shared" si="119"/>
        <v>0</v>
      </c>
      <c r="AI20" s="80">
        <f t="shared" si="120"/>
        <v>0</v>
      </c>
      <c r="AJ20" s="76" t="s">
        <v>8</v>
      </c>
      <c r="AK20" s="30" t="s">
        <v>8</v>
      </c>
      <c r="AL20" s="35">
        <f t="shared" si="121"/>
        <v>1.0179035535308749</v>
      </c>
      <c r="AM20" s="33">
        <f t="shared" si="122"/>
        <v>-4.3805985147304938E-2</v>
      </c>
      <c r="AN20" s="53">
        <f t="shared" si="123"/>
        <v>0</v>
      </c>
      <c r="AO20" s="80">
        <f t="shared" si="124"/>
        <v>0</v>
      </c>
      <c r="AP20" s="76" t="s">
        <v>8</v>
      </c>
      <c r="AQ20" s="30" t="s">
        <v>8</v>
      </c>
      <c r="AR20" s="35">
        <f t="shared" si="125"/>
        <v>1.0179035535308749</v>
      </c>
      <c r="AS20" s="33">
        <f t="shared" si="126"/>
        <v>-4.3805985147304938E-2</v>
      </c>
      <c r="AT20" s="53">
        <f t="shared" si="127"/>
        <v>0</v>
      </c>
      <c r="AU20" s="80">
        <f t="shared" si="128"/>
        <v>0</v>
      </c>
      <c r="AV20" s="76" t="s">
        <v>8</v>
      </c>
      <c r="AW20" s="30" t="s">
        <v>8</v>
      </c>
      <c r="AX20" s="35">
        <f t="shared" si="129"/>
        <v>1.0179035535308749</v>
      </c>
      <c r="AY20" s="33">
        <f t="shared" si="130"/>
        <v>-4.3805985147304938E-2</v>
      </c>
      <c r="AZ20" s="53">
        <f t="shared" si="131"/>
        <v>0</v>
      </c>
      <c r="BA20" s="80">
        <f t="shared" si="132"/>
        <v>0</v>
      </c>
      <c r="BB20" s="76" t="s">
        <v>8</v>
      </c>
      <c r="BC20" s="30" t="s">
        <v>8</v>
      </c>
      <c r="BD20" s="35">
        <f t="shared" si="133"/>
        <v>1.0179035535308749</v>
      </c>
      <c r="BE20" s="33">
        <f t="shared" si="134"/>
        <v>-4.3805985147304938E-2</v>
      </c>
      <c r="BF20" s="53">
        <f t="shared" si="135"/>
        <v>0</v>
      </c>
      <c r="BG20" s="80">
        <f t="shared" si="136"/>
        <v>0</v>
      </c>
      <c r="BH20" s="76" t="s">
        <v>8</v>
      </c>
      <c r="BI20" s="30" t="s">
        <v>8</v>
      </c>
      <c r="BJ20" s="35">
        <f t="shared" si="137"/>
        <v>1.0179035535308749</v>
      </c>
      <c r="BK20" s="33">
        <f t="shared" si="138"/>
        <v>-4.3805985147304938E-2</v>
      </c>
      <c r="BL20" s="53">
        <f t="shared" si="139"/>
        <v>0</v>
      </c>
      <c r="BM20" s="80">
        <f t="shared" si="140"/>
        <v>0</v>
      </c>
      <c r="BN20" s="76" t="s">
        <v>8</v>
      </c>
      <c r="BO20" s="30" t="s">
        <v>8</v>
      </c>
      <c r="BP20" s="35">
        <f t="shared" si="141"/>
        <v>1.0179035535308749</v>
      </c>
      <c r="BQ20" s="33">
        <f t="shared" si="142"/>
        <v>-4.3805985147304938E-2</v>
      </c>
      <c r="BR20" s="53">
        <f t="shared" si="143"/>
        <v>0</v>
      </c>
      <c r="BS20" s="132">
        <f t="shared" si="144"/>
        <v>0</v>
      </c>
      <c r="BT20" s="76" t="s">
        <v>8</v>
      </c>
      <c r="BU20" s="30" t="s">
        <v>8</v>
      </c>
      <c r="BV20" s="35">
        <f t="shared" si="145"/>
        <v>1.0179035535308749</v>
      </c>
      <c r="BW20" s="33">
        <f t="shared" si="146"/>
        <v>-4.3805985147304938E-2</v>
      </c>
      <c r="BX20" s="53">
        <f t="shared" si="147"/>
        <v>0</v>
      </c>
      <c r="BY20" s="132">
        <f t="shared" si="148"/>
        <v>0</v>
      </c>
      <c r="BZ20" s="76" t="s">
        <v>8</v>
      </c>
      <c r="CA20" s="30" t="s">
        <v>8</v>
      </c>
      <c r="CB20" s="35">
        <f t="shared" si="149"/>
        <v>1.0179035535308749</v>
      </c>
      <c r="CC20" s="33">
        <f t="shared" si="150"/>
        <v>-4.3805985147304938E-2</v>
      </c>
      <c r="CD20" s="53">
        <f t="shared" si="151"/>
        <v>0</v>
      </c>
      <c r="CE20" s="132">
        <f t="shared" si="152"/>
        <v>0</v>
      </c>
      <c r="CF20" s="76" t="s">
        <v>8</v>
      </c>
      <c r="CG20" s="30" t="s">
        <v>8</v>
      </c>
      <c r="CH20" s="35">
        <f t="shared" si="153"/>
        <v>1.0179035535308749</v>
      </c>
      <c r="CI20" s="33">
        <f t="shared" si="154"/>
        <v>-4.3805985147304938E-2</v>
      </c>
      <c r="CJ20" s="53">
        <f t="shared" si="155"/>
        <v>0</v>
      </c>
      <c r="CK20" s="132">
        <f t="shared" si="156"/>
        <v>0</v>
      </c>
      <c r="CL20" s="76" t="s">
        <v>8</v>
      </c>
      <c r="CM20" s="30" t="s">
        <v>8</v>
      </c>
      <c r="CN20" s="35">
        <f t="shared" si="157"/>
        <v>1.0179035535308749</v>
      </c>
      <c r="CO20" s="33">
        <f t="shared" si="158"/>
        <v>-4.3805985147304938E-2</v>
      </c>
      <c r="CP20" s="53">
        <f t="shared" si="159"/>
        <v>0</v>
      </c>
      <c r="CQ20" s="132">
        <f t="shared" si="160"/>
        <v>0</v>
      </c>
      <c r="CR20" s="76" t="s">
        <v>8</v>
      </c>
      <c r="CS20" s="30" t="s">
        <v>8</v>
      </c>
      <c r="CT20" s="35">
        <f t="shared" si="161"/>
        <v>1.0179035535308749</v>
      </c>
      <c r="CU20" s="33">
        <f t="shared" si="162"/>
        <v>-4.3805985147304938E-2</v>
      </c>
      <c r="CV20" s="53">
        <f t="shared" si="163"/>
        <v>0</v>
      </c>
      <c r="CW20" s="132">
        <f t="shared" si="164"/>
        <v>0</v>
      </c>
      <c r="CX20" s="76" t="s">
        <v>8</v>
      </c>
      <c r="CY20" s="30" t="s">
        <v>8</v>
      </c>
      <c r="CZ20" s="35">
        <f t="shared" si="165"/>
        <v>1.0179035535308749</v>
      </c>
      <c r="DA20" s="33">
        <f t="shared" si="166"/>
        <v>-4.3805985147304938E-2</v>
      </c>
      <c r="DB20" s="53">
        <f t="shared" si="167"/>
        <v>0</v>
      </c>
      <c r="DC20" s="132">
        <f t="shared" si="168"/>
        <v>0</v>
      </c>
      <c r="DD20" s="76" t="s">
        <v>8</v>
      </c>
      <c r="DE20" s="30" t="s">
        <v>8</v>
      </c>
      <c r="DF20" s="35">
        <f t="shared" si="169"/>
        <v>1.0179035535308749</v>
      </c>
      <c r="DG20" s="33">
        <f t="shared" si="170"/>
        <v>-4.3805985147304938E-2</v>
      </c>
      <c r="DH20" s="53">
        <f t="shared" si="171"/>
        <v>0</v>
      </c>
      <c r="DI20" s="132">
        <f t="shared" si="172"/>
        <v>0</v>
      </c>
      <c r="DJ20" s="76" t="s">
        <v>8</v>
      </c>
      <c r="DK20" s="30" t="s">
        <v>8</v>
      </c>
      <c r="DL20" s="35">
        <f t="shared" si="173"/>
        <v>1.0179035535308749</v>
      </c>
      <c r="DM20" s="51">
        <f t="shared" si="174"/>
        <v>-4.3805985147304938E-2</v>
      </c>
      <c r="DN20" s="53">
        <f t="shared" si="175"/>
        <v>0</v>
      </c>
      <c r="DO20" s="132">
        <f t="shared" si="176"/>
        <v>0</v>
      </c>
      <c r="DP20" s="76" t="s">
        <v>8</v>
      </c>
      <c r="DQ20" s="30" t="s">
        <v>8</v>
      </c>
      <c r="DR20" s="35">
        <f t="shared" si="177"/>
        <v>1.0179035535308749</v>
      </c>
      <c r="DS20" s="51">
        <f t="shared" si="178"/>
        <v>-4.3805985147304938E-2</v>
      </c>
      <c r="DT20" s="53">
        <f t="shared" si="227"/>
        <v>0</v>
      </c>
      <c r="DU20" s="132">
        <f t="shared" si="179"/>
        <v>0</v>
      </c>
      <c r="DV20" s="76" t="s">
        <v>8</v>
      </c>
      <c r="DW20" s="30" t="s">
        <v>8</v>
      </c>
      <c r="DX20" s="35">
        <f t="shared" si="180"/>
        <v>1.0179035535308749</v>
      </c>
      <c r="DY20" s="33">
        <f t="shared" si="181"/>
        <v>-4.3805985147304938E-2</v>
      </c>
      <c r="DZ20" s="34">
        <f t="shared" si="182"/>
        <v>0</v>
      </c>
      <c r="EA20" s="80">
        <f t="shared" si="183"/>
        <v>0</v>
      </c>
      <c r="EB20" s="76" t="s">
        <v>8</v>
      </c>
      <c r="EC20" s="30" t="s">
        <v>8</v>
      </c>
      <c r="ED20" s="35">
        <f t="shared" si="184"/>
        <v>1.0179035535308749</v>
      </c>
      <c r="EE20" s="33">
        <f t="shared" si="185"/>
        <v>-4.3805985147304938E-2</v>
      </c>
      <c r="EF20" s="34">
        <f t="shared" si="186"/>
        <v>0</v>
      </c>
      <c r="EG20" s="80">
        <f t="shared" si="187"/>
        <v>0</v>
      </c>
      <c r="EH20" s="76" t="s">
        <v>8</v>
      </c>
      <c r="EI20" s="30" t="s">
        <v>8</v>
      </c>
      <c r="EJ20" s="35">
        <f t="shared" si="188"/>
        <v>1.0179035535308749</v>
      </c>
      <c r="EK20" s="33">
        <f t="shared" si="189"/>
        <v>-4.3805985147304938E-2</v>
      </c>
      <c r="EL20" s="34">
        <f t="shared" si="190"/>
        <v>0</v>
      </c>
      <c r="EM20" s="80">
        <f t="shared" si="191"/>
        <v>0</v>
      </c>
      <c r="EN20" s="76" t="s">
        <v>8</v>
      </c>
      <c r="EO20" s="30" t="s">
        <v>8</v>
      </c>
      <c r="EP20" s="35">
        <f t="shared" si="192"/>
        <v>1.0179035535308749</v>
      </c>
      <c r="EQ20" s="51">
        <f t="shared" si="193"/>
        <v>-4.3805985147304938E-2</v>
      </c>
      <c r="ER20" s="34">
        <f t="shared" si="194"/>
        <v>0</v>
      </c>
      <c r="ES20" s="80">
        <f t="shared" si="195"/>
        <v>0</v>
      </c>
      <c r="ET20" s="76" t="s">
        <v>8</v>
      </c>
      <c r="EU20" s="30" t="s">
        <v>8</v>
      </c>
      <c r="EV20" s="35">
        <f t="shared" si="196"/>
        <v>1.0179035535308749</v>
      </c>
      <c r="EW20" s="33">
        <f t="shared" si="197"/>
        <v>-4.3805985147304938E-2</v>
      </c>
      <c r="EX20" s="34">
        <f t="shared" si="198"/>
        <v>0</v>
      </c>
      <c r="EY20" s="80">
        <f t="shared" si="199"/>
        <v>0</v>
      </c>
      <c r="EZ20" s="76" t="s">
        <v>8</v>
      </c>
      <c r="FA20" s="30" t="s">
        <v>8</v>
      </c>
      <c r="FB20" s="35">
        <f t="shared" si="200"/>
        <v>1.0179035535308749</v>
      </c>
      <c r="FC20" s="33">
        <f t="shared" si="201"/>
        <v>-4.3805985147304938E-2</v>
      </c>
      <c r="FD20" s="34">
        <f t="shared" si="202"/>
        <v>0</v>
      </c>
      <c r="FE20" s="80">
        <f t="shared" si="203"/>
        <v>0</v>
      </c>
      <c r="FF20" s="76" t="s">
        <v>8</v>
      </c>
      <c r="FG20" s="30" t="s">
        <v>8</v>
      </c>
      <c r="FH20" s="35">
        <f t="shared" si="204"/>
        <v>1.0179035535308749</v>
      </c>
      <c r="FI20" s="33">
        <f t="shared" si="205"/>
        <v>-4.3805985147304938E-2</v>
      </c>
      <c r="FJ20" s="34">
        <f t="shared" si="206"/>
        <v>0</v>
      </c>
      <c r="FK20" s="80">
        <f t="shared" si="207"/>
        <v>0</v>
      </c>
      <c r="FL20" s="76" t="s">
        <v>8</v>
      </c>
      <c r="FM20" s="30" t="s">
        <v>8</v>
      </c>
      <c r="FN20" s="35">
        <f t="shared" si="208"/>
        <v>1.0179035535308749</v>
      </c>
      <c r="FO20" s="33">
        <f t="shared" si="209"/>
        <v>-4.3805985147304938E-2</v>
      </c>
      <c r="FP20" s="34">
        <f t="shared" si="210"/>
        <v>0</v>
      </c>
      <c r="FQ20" s="80">
        <f t="shared" si="211"/>
        <v>0</v>
      </c>
      <c r="FR20" s="76" t="s">
        <v>8</v>
      </c>
      <c r="FS20" s="30" t="s">
        <v>8</v>
      </c>
      <c r="FT20" s="35">
        <f t="shared" si="212"/>
        <v>1.0179035535308749</v>
      </c>
      <c r="FU20" s="33">
        <f t="shared" si="213"/>
        <v>-4.3805985147304938E-2</v>
      </c>
      <c r="FV20" s="34">
        <f t="shared" si="214"/>
        <v>0</v>
      </c>
      <c r="FW20" s="80">
        <f t="shared" si="215"/>
        <v>0</v>
      </c>
      <c r="FX20" s="76" t="s">
        <v>8</v>
      </c>
      <c r="FY20" s="30" t="s">
        <v>8</v>
      </c>
      <c r="FZ20" s="35">
        <f t="shared" si="216"/>
        <v>1.0179035535308749</v>
      </c>
      <c r="GA20" s="33">
        <f t="shared" si="217"/>
        <v>-4.3805985147304938E-2</v>
      </c>
      <c r="GB20" s="34">
        <f t="shared" si="218"/>
        <v>0</v>
      </c>
      <c r="GC20" s="80">
        <f t="shared" si="219"/>
        <v>0</v>
      </c>
      <c r="GD20" s="76" t="s">
        <v>8</v>
      </c>
      <c r="GE20" s="30" t="s">
        <v>8</v>
      </c>
      <c r="GF20" s="35">
        <f t="shared" si="220"/>
        <v>1.0179035535308749</v>
      </c>
      <c r="GG20" s="33">
        <f t="shared" si="221"/>
        <v>-4.3805985147304938E-2</v>
      </c>
      <c r="GH20" s="34">
        <f t="shared" si="222"/>
        <v>0</v>
      </c>
      <c r="GI20" s="132">
        <f t="shared" si="223"/>
        <v>0</v>
      </c>
      <c r="GJ20" s="168">
        <f t="shared" si="228"/>
        <v>722413.55426522542</v>
      </c>
      <c r="GK20" s="104">
        <f t="shared" si="224"/>
        <v>1177020.5930836156</v>
      </c>
      <c r="GL20" s="86">
        <f t="shared" si="225"/>
        <v>1.0179035535308749</v>
      </c>
      <c r="GN20" s="214">
        <v>1177020.5900000001</v>
      </c>
    </row>
    <row r="21" spans="1:196" s="25" customFormat="1" ht="16.5" thickBot="1" x14ac:dyDescent="0.25">
      <c r="A21" s="185" t="s">
        <v>185</v>
      </c>
      <c r="B21" s="156" t="s">
        <v>8</v>
      </c>
      <c r="C21" s="156" t="s">
        <v>8</v>
      </c>
      <c r="D21" s="156" t="s">
        <v>8</v>
      </c>
      <c r="E21" s="156" t="s">
        <v>8</v>
      </c>
      <c r="F21" s="156" t="s">
        <v>8</v>
      </c>
      <c r="G21" s="141">
        <f>'Исходные данные 25 г.'!C23</f>
        <v>402</v>
      </c>
      <c r="H21" s="142">
        <f>'Исходные данные 25 г.'!D23</f>
        <v>124620</v>
      </c>
      <c r="I21" s="143">
        <f>'Расчет КРП'!H19</f>
        <v>5.6616105593778903</v>
      </c>
      <c r="J21" s="144" t="s">
        <v>8</v>
      </c>
      <c r="K21" s="145">
        <f t="shared" si="104"/>
        <v>9.0683018771439666E-2</v>
      </c>
      <c r="L21" s="146">
        <f t="shared" si="105"/>
        <v>488641.79038768157</v>
      </c>
      <c r="M21" s="147">
        <f t="shared" si="106"/>
        <v>0.4462560620248181</v>
      </c>
      <c r="N21" s="148" t="s">
        <v>8</v>
      </c>
      <c r="O21" s="149">
        <f t="shared" si="107"/>
        <v>6.2071829886394647E-2</v>
      </c>
      <c r="P21" s="34">
        <f t="shared" si="226"/>
        <v>257023.12049434456</v>
      </c>
      <c r="Q21" s="150">
        <f t="shared" si="108"/>
        <v>257023.12049434456</v>
      </c>
      <c r="R21" s="161" t="s">
        <v>8</v>
      </c>
      <c r="S21" s="148" t="s">
        <v>8</v>
      </c>
      <c r="T21" s="151">
        <f t="shared" si="109"/>
        <v>0.63328569178314453</v>
      </c>
      <c r="U21" s="149">
        <f t="shared" si="110"/>
        <v>9.4183129958891443E-2</v>
      </c>
      <c r="V21" s="53">
        <f t="shared" si="111"/>
        <v>469822.86167154834</v>
      </c>
      <c r="W21" s="150">
        <f t="shared" si="112"/>
        <v>469822.86167154834</v>
      </c>
      <c r="X21" s="140" t="s">
        <v>8</v>
      </c>
      <c r="Y21" s="148" t="s">
        <v>8</v>
      </c>
      <c r="Z21" s="151">
        <f t="shared" si="113"/>
        <v>0.97516464688034032</v>
      </c>
      <c r="AA21" s="149">
        <f t="shared" si="114"/>
        <v>-0.13165929272326538</v>
      </c>
      <c r="AB21" s="53">
        <f t="shared" si="115"/>
        <v>0</v>
      </c>
      <c r="AC21" s="150">
        <f t="shared" si="116"/>
        <v>0</v>
      </c>
      <c r="AD21" s="140" t="s">
        <v>8</v>
      </c>
      <c r="AE21" s="148" t="s">
        <v>8</v>
      </c>
      <c r="AF21" s="151">
        <f t="shared" si="117"/>
        <v>0.97516464688034032</v>
      </c>
      <c r="AG21" s="149">
        <f t="shared" si="118"/>
        <v>-3.4898361687249579E-2</v>
      </c>
      <c r="AH21" s="53">
        <f t="shared" si="119"/>
        <v>0</v>
      </c>
      <c r="AI21" s="150">
        <f t="shared" si="120"/>
        <v>0</v>
      </c>
      <c r="AJ21" s="140" t="s">
        <v>8</v>
      </c>
      <c r="AK21" s="148" t="s">
        <v>8</v>
      </c>
      <c r="AL21" s="151">
        <f t="shared" si="121"/>
        <v>0.97516464688034032</v>
      </c>
      <c r="AM21" s="149">
        <f t="shared" si="122"/>
        <v>-1.0670784967703462E-3</v>
      </c>
      <c r="AN21" s="53">
        <f t="shared" si="123"/>
        <v>0</v>
      </c>
      <c r="AO21" s="150">
        <f t="shared" si="124"/>
        <v>0</v>
      </c>
      <c r="AP21" s="140" t="s">
        <v>8</v>
      </c>
      <c r="AQ21" s="148" t="s">
        <v>8</v>
      </c>
      <c r="AR21" s="151">
        <f t="shared" si="125"/>
        <v>0.97516464688034032</v>
      </c>
      <c r="AS21" s="149">
        <f t="shared" si="126"/>
        <v>-1.0670784967703462E-3</v>
      </c>
      <c r="AT21" s="53">
        <f t="shared" si="127"/>
        <v>0</v>
      </c>
      <c r="AU21" s="150">
        <f t="shared" si="128"/>
        <v>0</v>
      </c>
      <c r="AV21" s="140" t="s">
        <v>8</v>
      </c>
      <c r="AW21" s="148" t="s">
        <v>8</v>
      </c>
      <c r="AX21" s="151">
        <f t="shared" si="129"/>
        <v>0.97516464688034032</v>
      </c>
      <c r="AY21" s="149">
        <f t="shared" si="130"/>
        <v>-1.0670784967703462E-3</v>
      </c>
      <c r="AZ21" s="53">
        <f t="shared" si="131"/>
        <v>0</v>
      </c>
      <c r="BA21" s="150">
        <f t="shared" si="132"/>
        <v>0</v>
      </c>
      <c r="BB21" s="140" t="s">
        <v>8</v>
      </c>
      <c r="BC21" s="148" t="s">
        <v>8</v>
      </c>
      <c r="BD21" s="151">
        <f t="shared" si="133"/>
        <v>0.97516464688034032</v>
      </c>
      <c r="BE21" s="149">
        <f t="shared" si="134"/>
        <v>-1.0670784967703462E-3</v>
      </c>
      <c r="BF21" s="53">
        <f t="shared" si="135"/>
        <v>0</v>
      </c>
      <c r="BG21" s="150">
        <f t="shared" si="136"/>
        <v>0</v>
      </c>
      <c r="BH21" s="140" t="s">
        <v>8</v>
      </c>
      <c r="BI21" s="148" t="s">
        <v>8</v>
      </c>
      <c r="BJ21" s="151">
        <f t="shared" si="137"/>
        <v>0.97516464688034032</v>
      </c>
      <c r="BK21" s="149">
        <f t="shared" si="138"/>
        <v>-1.0670784967703462E-3</v>
      </c>
      <c r="BL21" s="53">
        <f t="shared" si="139"/>
        <v>0</v>
      </c>
      <c r="BM21" s="150">
        <f t="shared" si="140"/>
        <v>0</v>
      </c>
      <c r="BN21" s="140" t="s">
        <v>8</v>
      </c>
      <c r="BO21" s="148" t="s">
        <v>8</v>
      </c>
      <c r="BP21" s="151">
        <f t="shared" si="141"/>
        <v>0.97516464688034032</v>
      </c>
      <c r="BQ21" s="149">
        <f t="shared" si="142"/>
        <v>-1.0670784967703462E-3</v>
      </c>
      <c r="BR21" s="53">
        <f t="shared" si="143"/>
        <v>0</v>
      </c>
      <c r="BS21" s="152">
        <f t="shared" si="144"/>
        <v>0</v>
      </c>
      <c r="BT21" s="140" t="s">
        <v>8</v>
      </c>
      <c r="BU21" s="148" t="s">
        <v>8</v>
      </c>
      <c r="BV21" s="151">
        <f t="shared" si="145"/>
        <v>0.97516464688034032</v>
      </c>
      <c r="BW21" s="149">
        <f t="shared" si="146"/>
        <v>-1.0670784967703462E-3</v>
      </c>
      <c r="BX21" s="53">
        <f t="shared" si="147"/>
        <v>0</v>
      </c>
      <c r="BY21" s="152">
        <f t="shared" si="148"/>
        <v>0</v>
      </c>
      <c r="BZ21" s="140" t="s">
        <v>8</v>
      </c>
      <c r="CA21" s="148" t="s">
        <v>8</v>
      </c>
      <c r="CB21" s="151">
        <f t="shared" si="149"/>
        <v>0.97516464688034032</v>
      </c>
      <c r="CC21" s="149">
        <f t="shared" si="150"/>
        <v>-1.0670784967703462E-3</v>
      </c>
      <c r="CD21" s="53">
        <f t="shared" si="151"/>
        <v>0</v>
      </c>
      <c r="CE21" s="152">
        <f t="shared" si="152"/>
        <v>0</v>
      </c>
      <c r="CF21" s="140" t="s">
        <v>8</v>
      </c>
      <c r="CG21" s="148" t="s">
        <v>8</v>
      </c>
      <c r="CH21" s="151">
        <f t="shared" si="153"/>
        <v>0.97516464688034032</v>
      </c>
      <c r="CI21" s="149">
        <f t="shared" si="154"/>
        <v>-1.0670784967703462E-3</v>
      </c>
      <c r="CJ21" s="53">
        <f t="shared" si="155"/>
        <v>0</v>
      </c>
      <c r="CK21" s="152">
        <f t="shared" si="156"/>
        <v>0</v>
      </c>
      <c r="CL21" s="140" t="s">
        <v>8</v>
      </c>
      <c r="CM21" s="148" t="s">
        <v>8</v>
      </c>
      <c r="CN21" s="151">
        <f t="shared" si="157"/>
        <v>0.97516464688034032</v>
      </c>
      <c r="CO21" s="149">
        <f t="shared" si="158"/>
        <v>-1.0670784967703462E-3</v>
      </c>
      <c r="CP21" s="53">
        <f t="shared" si="159"/>
        <v>0</v>
      </c>
      <c r="CQ21" s="152">
        <f t="shared" si="160"/>
        <v>0</v>
      </c>
      <c r="CR21" s="140" t="s">
        <v>8</v>
      </c>
      <c r="CS21" s="148" t="s">
        <v>8</v>
      </c>
      <c r="CT21" s="151">
        <f t="shared" si="161"/>
        <v>0.97516464688034032</v>
      </c>
      <c r="CU21" s="149">
        <f t="shared" si="162"/>
        <v>-1.0670784967703462E-3</v>
      </c>
      <c r="CV21" s="53">
        <f t="shared" si="163"/>
        <v>0</v>
      </c>
      <c r="CW21" s="152">
        <f t="shared" si="164"/>
        <v>0</v>
      </c>
      <c r="CX21" s="140" t="s">
        <v>8</v>
      </c>
      <c r="CY21" s="148" t="s">
        <v>8</v>
      </c>
      <c r="CZ21" s="151">
        <f t="shared" si="165"/>
        <v>0.97516464688034032</v>
      </c>
      <c r="DA21" s="149">
        <f t="shared" si="166"/>
        <v>-1.0670784967703462E-3</v>
      </c>
      <c r="DB21" s="53">
        <f t="shared" si="167"/>
        <v>0</v>
      </c>
      <c r="DC21" s="152">
        <f t="shared" si="168"/>
        <v>0</v>
      </c>
      <c r="DD21" s="140" t="s">
        <v>8</v>
      </c>
      <c r="DE21" s="148" t="s">
        <v>8</v>
      </c>
      <c r="DF21" s="151">
        <f t="shared" si="169"/>
        <v>0.97516464688034032</v>
      </c>
      <c r="DG21" s="149">
        <f t="shared" si="170"/>
        <v>-1.0670784967703462E-3</v>
      </c>
      <c r="DH21" s="53">
        <f t="shared" si="171"/>
        <v>0</v>
      </c>
      <c r="DI21" s="152">
        <f t="shared" si="172"/>
        <v>0</v>
      </c>
      <c r="DJ21" s="140" t="s">
        <v>8</v>
      </c>
      <c r="DK21" s="148" t="s">
        <v>8</v>
      </c>
      <c r="DL21" s="151">
        <f t="shared" si="173"/>
        <v>0.97516464688034032</v>
      </c>
      <c r="DM21" s="51">
        <f t="shared" si="174"/>
        <v>-1.0670784967703462E-3</v>
      </c>
      <c r="DN21" s="53">
        <f t="shared" si="175"/>
        <v>0</v>
      </c>
      <c r="DO21" s="152">
        <f t="shared" si="176"/>
        <v>0</v>
      </c>
      <c r="DP21" s="140" t="s">
        <v>8</v>
      </c>
      <c r="DQ21" s="148" t="s">
        <v>8</v>
      </c>
      <c r="DR21" s="151">
        <f t="shared" si="177"/>
        <v>0.97516464688034032</v>
      </c>
      <c r="DS21" s="51">
        <f t="shared" si="178"/>
        <v>-1.0670784967703462E-3</v>
      </c>
      <c r="DT21" s="53">
        <f t="shared" si="227"/>
        <v>0</v>
      </c>
      <c r="DU21" s="152">
        <f t="shared" si="179"/>
        <v>0</v>
      </c>
      <c r="DV21" s="140" t="s">
        <v>8</v>
      </c>
      <c r="DW21" s="148" t="s">
        <v>8</v>
      </c>
      <c r="DX21" s="200">
        <f t="shared" si="180"/>
        <v>0.97516464688034032</v>
      </c>
      <c r="DY21" s="201">
        <f t="shared" si="181"/>
        <v>-1.0670784967703462E-3</v>
      </c>
      <c r="DZ21" s="34">
        <f t="shared" si="182"/>
        <v>0</v>
      </c>
      <c r="EA21" s="150">
        <f t="shared" si="183"/>
        <v>0</v>
      </c>
      <c r="EB21" s="140" t="s">
        <v>8</v>
      </c>
      <c r="EC21" s="148" t="s">
        <v>8</v>
      </c>
      <c r="ED21" s="200">
        <f t="shared" si="184"/>
        <v>0.97516464688034032</v>
      </c>
      <c r="EE21" s="201">
        <f t="shared" si="185"/>
        <v>-1.0670784967703462E-3</v>
      </c>
      <c r="EF21" s="34">
        <f t="shared" si="186"/>
        <v>0</v>
      </c>
      <c r="EG21" s="150">
        <f t="shared" si="187"/>
        <v>0</v>
      </c>
      <c r="EH21" s="140" t="s">
        <v>8</v>
      </c>
      <c r="EI21" s="148" t="s">
        <v>8</v>
      </c>
      <c r="EJ21" s="200">
        <f t="shared" si="188"/>
        <v>0.97516464688034032</v>
      </c>
      <c r="EK21" s="201">
        <f t="shared" si="189"/>
        <v>-1.0670784967703462E-3</v>
      </c>
      <c r="EL21" s="34">
        <f t="shared" si="190"/>
        <v>0</v>
      </c>
      <c r="EM21" s="150">
        <f t="shared" si="191"/>
        <v>0</v>
      </c>
      <c r="EN21" s="140" t="s">
        <v>8</v>
      </c>
      <c r="EO21" s="148" t="s">
        <v>8</v>
      </c>
      <c r="EP21" s="200">
        <f t="shared" si="192"/>
        <v>0.97516464688034032</v>
      </c>
      <c r="EQ21" s="51">
        <f t="shared" si="193"/>
        <v>-1.0670784967703462E-3</v>
      </c>
      <c r="ER21" s="34">
        <f t="shared" si="194"/>
        <v>0</v>
      </c>
      <c r="ES21" s="150">
        <f t="shared" si="195"/>
        <v>0</v>
      </c>
      <c r="ET21" s="140" t="s">
        <v>8</v>
      </c>
      <c r="EU21" s="148" t="s">
        <v>8</v>
      </c>
      <c r="EV21" s="200">
        <f t="shared" si="196"/>
        <v>0.97516464688034032</v>
      </c>
      <c r="EW21" s="201">
        <f t="shared" si="197"/>
        <v>-1.0670784967703462E-3</v>
      </c>
      <c r="EX21" s="34">
        <f t="shared" si="198"/>
        <v>0</v>
      </c>
      <c r="EY21" s="150">
        <f t="shared" si="199"/>
        <v>0</v>
      </c>
      <c r="EZ21" s="140" t="s">
        <v>8</v>
      </c>
      <c r="FA21" s="148" t="s">
        <v>8</v>
      </c>
      <c r="FB21" s="200">
        <f t="shared" si="200"/>
        <v>0.97516464688034032</v>
      </c>
      <c r="FC21" s="201">
        <f t="shared" si="201"/>
        <v>-1.0670784967703462E-3</v>
      </c>
      <c r="FD21" s="34">
        <f t="shared" si="202"/>
        <v>0</v>
      </c>
      <c r="FE21" s="150">
        <f t="shared" si="203"/>
        <v>0</v>
      </c>
      <c r="FF21" s="140" t="s">
        <v>8</v>
      </c>
      <c r="FG21" s="148" t="s">
        <v>8</v>
      </c>
      <c r="FH21" s="200">
        <f t="shared" si="204"/>
        <v>0.97516464688034032</v>
      </c>
      <c r="FI21" s="201">
        <f t="shared" si="205"/>
        <v>-1.0670784967703462E-3</v>
      </c>
      <c r="FJ21" s="34">
        <f t="shared" si="206"/>
        <v>0</v>
      </c>
      <c r="FK21" s="150">
        <f t="shared" si="207"/>
        <v>0</v>
      </c>
      <c r="FL21" s="140" t="s">
        <v>8</v>
      </c>
      <c r="FM21" s="148" t="s">
        <v>8</v>
      </c>
      <c r="FN21" s="200">
        <f t="shared" si="208"/>
        <v>0.97516464688034032</v>
      </c>
      <c r="FO21" s="201">
        <f t="shared" si="209"/>
        <v>-1.0670784967703462E-3</v>
      </c>
      <c r="FP21" s="34">
        <f t="shared" si="210"/>
        <v>0</v>
      </c>
      <c r="FQ21" s="150">
        <f t="shared" si="211"/>
        <v>0</v>
      </c>
      <c r="FR21" s="140" t="s">
        <v>8</v>
      </c>
      <c r="FS21" s="148" t="s">
        <v>8</v>
      </c>
      <c r="FT21" s="200">
        <f t="shared" si="212"/>
        <v>0.97516464688034032</v>
      </c>
      <c r="FU21" s="201">
        <f t="shared" si="213"/>
        <v>-1.0670784967703462E-3</v>
      </c>
      <c r="FV21" s="34">
        <f t="shared" si="214"/>
        <v>0</v>
      </c>
      <c r="FW21" s="150">
        <f t="shared" si="215"/>
        <v>0</v>
      </c>
      <c r="FX21" s="140" t="s">
        <v>8</v>
      </c>
      <c r="FY21" s="148" t="s">
        <v>8</v>
      </c>
      <c r="FZ21" s="200">
        <f t="shared" si="216"/>
        <v>0.97516464688034032</v>
      </c>
      <c r="GA21" s="201">
        <f t="shared" si="217"/>
        <v>-1.0670784967703462E-3</v>
      </c>
      <c r="GB21" s="34">
        <f t="shared" si="218"/>
        <v>0</v>
      </c>
      <c r="GC21" s="150">
        <f t="shared" si="219"/>
        <v>0</v>
      </c>
      <c r="GD21" s="140" t="s">
        <v>8</v>
      </c>
      <c r="GE21" s="148" t="s">
        <v>8</v>
      </c>
      <c r="GF21" s="200">
        <f t="shared" si="220"/>
        <v>0.97516464688034032</v>
      </c>
      <c r="GG21" s="201">
        <f t="shared" si="221"/>
        <v>-1.0670784967703462E-3</v>
      </c>
      <c r="GH21" s="34">
        <f t="shared" si="222"/>
        <v>0</v>
      </c>
      <c r="GI21" s="152">
        <f t="shared" si="223"/>
        <v>0</v>
      </c>
      <c r="GJ21" s="168">
        <f t="shared" si="228"/>
        <v>726845.98216589284</v>
      </c>
      <c r="GK21" s="104">
        <f t="shared" si="224"/>
        <v>1215487.7725535743</v>
      </c>
      <c r="GL21" s="86">
        <f t="shared" si="225"/>
        <v>0.9751646468803401</v>
      </c>
      <c r="GN21" s="214">
        <v>1215487.77</v>
      </c>
    </row>
    <row r="22" spans="1:196" s="29" customFormat="1" ht="16.5" thickBot="1" x14ac:dyDescent="0.3">
      <c r="A22" s="108" t="s">
        <v>6</v>
      </c>
      <c r="B22" s="129">
        <v>21001093</v>
      </c>
      <c r="C22" s="127">
        <v>53</v>
      </c>
      <c r="D22" s="81">
        <f>B22*C22/100</f>
        <v>11130579.289999999</v>
      </c>
      <c r="E22" s="115">
        <f>100-C22</f>
        <v>47</v>
      </c>
      <c r="F22" s="81">
        <f>B22-D22</f>
        <v>9870513.7100000009</v>
      </c>
      <c r="G22" s="114">
        <f>SUM(G9:G21)</f>
        <v>9157</v>
      </c>
      <c r="H22" s="114">
        <f>SUM(H9:H21)</f>
        <v>5529030</v>
      </c>
      <c r="I22" s="45" t="s">
        <v>8</v>
      </c>
      <c r="J22" s="175">
        <f>H22/G22</f>
        <v>603.80364748279999</v>
      </c>
      <c r="K22" s="125" t="s">
        <v>8</v>
      </c>
      <c r="L22" s="78">
        <f>SUM(L9:L21)</f>
        <v>11130579.289999999</v>
      </c>
      <c r="M22" s="74" t="s">
        <v>8</v>
      </c>
      <c r="N22" s="46">
        <f>(SUMIF(M9:M21,"&lt;1")+1)/(COUNTIFS(M9:M21,"&lt;1")+1)</f>
        <v>0.50832789191121275</v>
      </c>
      <c r="O22" s="47" t="s">
        <v>8</v>
      </c>
      <c r="P22" s="44">
        <f>SUM(P9:P21)</f>
        <v>3410428.7298247605</v>
      </c>
      <c r="Q22" s="44">
        <f>SUM(Q9:Q21)</f>
        <v>3410428.7298247605</v>
      </c>
      <c r="R22" s="87">
        <f>F22-Q22</f>
        <v>6460084.98017524</v>
      </c>
      <c r="S22" s="46">
        <f>(SUMIF(T9:T21,"&lt;1")+1)/(COUNTIFS(T9:T21,"&lt;1")+1)</f>
        <v>0.72746882174203598</v>
      </c>
      <c r="T22" s="47" t="s">
        <v>8</v>
      </c>
      <c r="U22" s="47" t="s">
        <v>8</v>
      </c>
      <c r="V22" s="44">
        <f>SUM(V9:V21)</f>
        <v>4382804.4411376528</v>
      </c>
      <c r="W22" s="44">
        <f>SUM(W9:W21)</f>
        <v>4382804.4411376528</v>
      </c>
      <c r="X22" s="87">
        <f>R22-W22</f>
        <v>2077280.5390375871</v>
      </c>
      <c r="Y22" s="46">
        <f>(SUMIF(Z9:Z21,"&lt;1")+1)/(COUNTIFS(Z9:Z21,"&lt;1")+1)</f>
        <v>0.84350535415707495</v>
      </c>
      <c r="Z22" s="47" t="s">
        <v>8</v>
      </c>
      <c r="AA22" s="47" t="s">
        <v>8</v>
      </c>
      <c r="AB22" s="44">
        <f>SUM(AB9:AB21)</f>
        <v>1547086.3373140921</v>
      </c>
      <c r="AC22" s="44">
        <f>SUM(AC9:AC21)</f>
        <v>1547086.3373140921</v>
      </c>
      <c r="AD22" s="87">
        <f>X22-AC22</f>
        <v>530194.20172349503</v>
      </c>
      <c r="AE22" s="46">
        <f>(SUMIF(AF9:AF21,"&lt;1")+1)/(COUNTIFS(AF9:AF21,"&lt;1")+1)</f>
        <v>0.94026628519309075</v>
      </c>
      <c r="AF22" s="47" t="s">
        <v>8</v>
      </c>
      <c r="AG22" s="47" t="s">
        <v>8</v>
      </c>
      <c r="AH22" s="44">
        <f>SUM(AH9:AH21)</f>
        <v>1407268.1470311701</v>
      </c>
      <c r="AI22" s="44">
        <f>SUM(AI9:AI21)</f>
        <v>530194.20172349503</v>
      </c>
      <c r="AJ22" s="87">
        <f>AD22-AI22</f>
        <v>0</v>
      </c>
      <c r="AK22" s="46">
        <f>(SUMIF(AL9:AL21,"&lt;1")+1)/(COUNTIFS(AL9:AL21,"&lt;1")+1)</f>
        <v>0.97409756838356998</v>
      </c>
      <c r="AL22" s="47" t="s">
        <v>8</v>
      </c>
      <c r="AM22" s="47" t="s">
        <v>8</v>
      </c>
      <c r="AN22" s="44">
        <f>SUM(AN9:AN21)</f>
        <v>998871.51810256578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0.97409756838356998</v>
      </c>
      <c r="AR22" s="47" t="s">
        <v>8</v>
      </c>
      <c r="AS22" s="47" t="s">
        <v>8</v>
      </c>
      <c r="AT22" s="44">
        <f>SUM(AT9:AT21)</f>
        <v>998871.51810256578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0.97409756838356998</v>
      </c>
      <c r="AX22" s="47" t="s">
        <v>8</v>
      </c>
      <c r="AY22" s="47" t="s">
        <v>8</v>
      </c>
      <c r="AZ22" s="44">
        <f>SUM(AZ9:AZ21)</f>
        <v>998871.51810256578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0.97409756838356998</v>
      </c>
      <c r="BD22" s="47" t="s">
        <v>8</v>
      </c>
      <c r="BE22" s="47" t="s">
        <v>8</v>
      </c>
      <c r="BF22" s="44">
        <f>SUM(BF9:BF21)</f>
        <v>998871.51810256578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0.97409756838356998</v>
      </c>
      <c r="BJ22" s="47" t="s">
        <v>8</v>
      </c>
      <c r="BK22" s="47" t="s">
        <v>8</v>
      </c>
      <c r="BL22" s="44">
        <f>SUM(BL9:BL21)</f>
        <v>998871.51810256578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0.97409756838356998</v>
      </c>
      <c r="BP22" s="47" t="s">
        <v>8</v>
      </c>
      <c r="BQ22" s="47" t="s">
        <v>8</v>
      </c>
      <c r="BR22" s="44">
        <f>SUM(BR9:BR21)</f>
        <v>998871.51810256578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0.97409756838356998</v>
      </c>
      <c r="BV22" s="47" t="s">
        <v>8</v>
      </c>
      <c r="BW22" s="47" t="s">
        <v>8</v>
      </c>
      <c r="BX22" s="44">
        <f>SUM(BX9:BX21)</f>
        <v>998871.51810256578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0.97409756838356998</v>
      </c>
      <c r="CB22" s="47" t="s">
        <v>8</v>
      </c>
      <c r="CC22" s="47" t="s">
        <v>8</v>
      </c>
      <c r="CD22" s="44">
        <f>SUM(CD9:CD21)</f>
        <v>998871.51810256578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0.97409756838356998</v>
      </c>
      <c r="CH22" s="47" t="s">
        <v>8</v>
      </c>
      <c r="CI22" s="47" t="s">
        <v>8</v>
      </c>
      <c r="CJ22" s="44">
        <f>SUM(CJ9:CJ21)</f>
        <v>998871.51810256578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0.97409756838356998</v>
      </c>
      <c r="CN22" s="47" t="s">
        <v>8</v>
      </c>
      <c r="CO22" s="47" t="s">
        <v>8</v>
      </c>
      <c r="CP22" s="44">
        <f>SUM(CP9:CP21)</f>
        <v>998871.51810256578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0.97409756838356998</v>
      </c>
      <c r="CT22" s="47" t="s">
        <v>8</v>
      </c>
      <c r="CU22" s="47" t="s">
        <v>8</v>
      </c>
      <c r="CV22" s="44">
        <f>SUM(CV9:CV21)</f>
        <v>998871.51810256578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0.97409756838356998</v>
      </c>
      <c r="CZ22" s="47" t="s">
        <v>8</v>
      </c>
      <c r="DA22" s="47" t="s">
        <v>8</v>
      </c>
      <c r="DB22" s="44">
        <f>SUM(DB9:DB21)</f>
        <v>998871.51810256578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0.97409756838356998</v>
      </c>
      <c r="DF22" s="47" t="s">
        <v>8</v>
      </c>
      <c r="DG22" s="47" t="s">
        <v>8</v>
      </c>
      <c r="DH22" s="44">
        <f>SUM(DH9:DH21)</f>
        <v>998871.51810256578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0.97409756838356998</v>
      </c>
      <c r="DL22" s="47" t="s">
        <v>8</v>
      </c>
      <c r="DM22" s="47" t="s">
        <v>8</v>
      </c>
      <c r="DN22" s="44">
        <f>SUM(DN9:DN21)</f>
        <v>998871.51810256578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0.97409756838356998</v>
      </c>
      <c r="DR22" s="47" t="s">
        <v>8</v>
      </c>
      <c r="DS22" s="47" t="s">
        <v>8</v>
      </c>
      <c r="DT22" s="44">
        <f>SUM(DT9:DT21)</f>
        <v>998871.51810256578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0.97409756838356998</v>
      </c>
      <c r="DX22" s="47" t="s">
        <v>8</v>
      </c>
      <c r="DY22" s="47" t="s">
        <v>8</v>
      </c>
      <c r="DZ22" s="153">
        <f>SUM(DZ9:DZ21)</f>
        <v>998871.51810256578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0.97409756838356998</v>
      </c>
      <c r="ED22" s="47" t="s">
        <v>8</v>
      </c>
      <c r="EE22" s="47" t="s">
        <v>8</v>
      </c>
      <c r="EF22" s="153">
        <f>SUM(EF9:EF21)</f>
        <v>998871.51810256578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0.97409756838356998</v>
      </c>
      <c r="EJ22" s="47" t="s">
        <v>8</v>
      </c>
      <c r="EK22" s="47" t="s">
        <v>8</v>
      </c>
      <c r="EL22" s="153">
        <f>SUM(EL9:EL21)</f>
        <v>998871.51810256578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0.97409756838356998</v>
      </c>
      <c r="EP22" s="47" t="s">
        <v>8</v>
      </c>
      <c r="EQ22" s="47" t="s">
        <v>8</v>
      </c>
      <c r="ER22" s="153">
        <f>SUM(ER9:ER21)</f>
        <v>998871.51810256578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0.97409756838356998</v>
      </c>
      <c r="EV22" s="47" t="s">
        <v>8</v>
      </c>
      <c r="EW22" s="47" t="s">
        <v>8</v>
      </c>
      <c r="EX22" s="153">
        <f>SUM(EX9:EX21)</f>
        <v>998871.51810256578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0.97409756838356998</v>
      </c>
      <c r="FB22" s="47" t="s">
        <v>8</v>
      </c>
      <c r="FC22" s="47" t="s">
        <v>8</v>
      </c>
      <c r="FD22" s="153">
        <f>SUM(FD9:FD21)</f>
        <v>998871.51810256578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0.97409756838356998</v>
      </c>
      <c r="FH22" s="47" t="s">
        <v>8</v>
      </c>
      <c r="FI22" s="47" t="s">
        <v>8</v>
      </c>
      <c r="FJ22" s="153">
        <f>SUM(FJ9:FJ21)</f>
        <v>998871.51810256578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0.97409756838356998</v>
      </c>
      <c r="FN22" s="47" t="s">
        <v>8</v>
      </c>
      <c r="FO22" s="47" t="s">
        <v>8</v>
      </c>
      <c r="FP22" s="153">
        <f>SUM(FP9:FP21)</f>
        <v>998871.51810256578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0.97409756838356998</v>
      </c>
      <c r="FT22" s="47" t="s">
        <v>8</v>
      </c>
      <c r="FU22" s="47" t="s">
        <v>8</v>
      </c>
      <c r="FV22" s="153">
        <f>SUM(FV9:FV21)</f>
        <v>998871.51810256578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0.97409756838356998</v>
      </c>
      <c r="FZ22" s="47" t="s">
        <v>8</v>
      </c>
      <c r="GA22" s="47" t="s">
        <v>8</v>
      </c>
      <c r="GB22" s="153">
        <f>SUM(GB9:GB21)</f>
        <v>998871.51810256578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0.97409756838356998</v>
      </c>
      <c r="GF22" s="47" t="s">
        <v>8</v>
      </c>
      <c r="GG22" s="47" t="s">
        <v>8</v>
      </c>
      <c r="GH22" s="153">
        <f>SUM(GH9:GH21)</f>
        <v>998871.51810256578</v>
      </c>
      <c r="GI22" s="44">
        <f>SUM(GI9:GI21)</f>
        <v>0</v>
      </c>
      <c r="GJ22" s="179">
        <f>SUM(GJ9:GJ21)</f>
        <v>9870513.7100000009</v>
      </c>
      <c r="GK22" s="181">
        <f t="shared" si="224"/>
        <v>21001093</v>
      </c>
      <c r="GL22" s="182" t="s">
        <v>8</v>
      </c>
      <c r="GM22" s="25"/>
      <c r="GN22" s="215">
        <f>GN9+GN10+GN11+GN12+GN13+GN14+GN15+GN16+GN17+GN18+GN19+GN20+GN21</f>
        <v>21001093</v>
      </c>
    </row>
    <row r="24" spans="1:196" x14ac:dyDescent="0.2">
      <c r="P24" s="24"/>
    </row>
    <row r="26" spans="1:196" x14ac:dyDescent="0.2">
      <c r="GJ26" s="133"/>
      <c r="GK26" s="133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49" firstPageNumber="0" pageOrder="overThenDown" orientation="landscape" r:id="rId1"/>
  <headerFooter alignWithMargins="0"/>
  <colBreaks count="2" manualBreakCount="2">
    <brk id="163" max="21" man="1"/>
    <brk id="180" max="2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4"/>
  <sheetViews>
    <sheetView view="pageBreakPreview" topLeftCell="A2" zoomScaleNormal="90" zoomScaleSheetLayoutView="100" workbookViewId="0">
      <selection activeCell="D24" sqref="D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9" width="19.42578125" style="1" customWidth="1"/>
    <col min="10" max="235" width="9.140625" style="1"/>
  </cols>
  <sheetData>
    <row r="2" spans="1:9" s="4" customFormat="1" ht="27" customHeight="1" x14ac:dyDescent="0.2">
      <c r="A2" s="236" t="s">
        <v>72</v>
      </c>
      <c r="B2" s="236"/>
      <c r="C2" s="236"/>
      <c r="D2" s="236"/>
      <c r="E2" s="236"/>
      <c r="F2" s="236"/>
      <c r="G2" s="236"/>
      <c r="H2" s="236"/>
      <c r="I2" s="236"/>
    </row>
    <row r="3" spans="1:9" s="4" customFormat="1" ht="16.5" x14ac:dyDescent="0.2">
      <c r="B3" s="229"/>
      <c r="C3" s="229"/>
      <c r="D3" s="229"/>
      <c r="E3" s="229"/>
      <c r="F3" s="229"/>
      <c r="G3" s="229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43" t="s">
        <v>0</v>
      </c>
      <c r="B5" s="230" t="s">
        <v>7</v>
      </c>
      <c r="C5" s="233" t="s">
        <v>56</v>
      </c>
      <c r="D5" s="234"/>
      <c r="E5" s="234"/>
      <c r="F5" s="234"/>
      <c r="G5" s="234"/>
      <c r="H5" s="234"/>
      <c r="I5" s="235"/>
    </row>
    <row r="6" spans="1:9" s="7" customFormat="1" ht="51.75" customHeight="1" x14ac:dyDescent="0.2">
      <c r="A6" s="244"/>
      <c r="B6" s="231"/>
      <c r="C6" s="97" t="s">
        <v>193</v>
      </c>
      <c r="D6" s="97" t="s">
        <v>62</v>
      </c>
      <c r="E6" s="237" t="s">
        <v>70</v>
      </c>
      <c r="F6" s="238"/>
      <c r="G6" s="238"/>
      <c r="H6" s="238"/>
      <c r="I6" s="239"/>
    </row>
    <row r="7" spans="1:9" s="7" customFormat="1" ht="19.5" customHeight="1" thickBot="1" x14ac:dyDescent="0.25">
      <c r="A7" s="244"/>
      <c r="B7" s="231"/>
      <c r="C7" s="98" t="s">
        <v>213</v>
      </c>
      <c r="D7" s="100" t="s">
        <v>215</v>
      </c>
      <c r="E7" s="240"/>
      <c r="F7" s="241"/>
      <c r="G7" s="241"/>
      <c r="H7" s="241"/>
      <c r="I7" s="242"/>
    </row>
    <row r="8" spans="1:9" s="7" customFormat="1" ht="72" customHeight="1" thickBot="1" x14ac:dyDescent="0.25">
      <c r="A8" s="244"/>
      <c r="B8" s="232"/>
      <c r="C8" s="99" t="s">
        <v>1</v>
      </c>
      <c r="D8" s="99" t="s">
        <v>2</v>
      </c>
      <c r="E8" s="101" t="s">
        <v>186</v>
      </c>
      <c r="F8" s="102" t="s">
        <v>187</v>
      </c>
      <c r="G8" s="102" t="s">
        <v>188</v>
      </c>
      <c r="H8" s="102" t="s">
        <v>189</v>
      </c>
      <c r="I8" s="103" t="s">
        <v>196</v>
      </c>
    </row>
    <row r="9" spans="1:9" s="8" customFormat="1" thickBot="1" x14ac:dyDescent="0.25">
      <c r="A9" s="245"/>
      <c r="B9" s="58" t="s">
        <v>3</v>
      </c>
      <c r="C9" s="56" t="s">
        <v>5</v>
      </c>
      <c r="D9" s="56" t="s">
        <v>4</v>
      </c>
      <c r="E9" s="95" t="s">
        <v>190</v>
      </c>
      <c r="F9" s="95" t="s">
        <v>191</v>
      </c>
      <c r="G9" s="95" t="s">
        <v>202</v>
      </c>
      <c r="H9" s="95" t="s">
        <v>201</v>
      </c>
      <c r="I9" s="96" t="s">
        <v>192</v>
      </c>
    </row>
    <row r="10" spans="1:9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39">
        <v>9</v>
      </c>
    </row>
    <row r="11" spans="1:9" ht="30" x14ac:dyDescent="0.25">
      <c r="A11" s="40">
        <v>1</v>
      </c>
      <c r="B11" s="183" t="s">
        <v>173</v>
      </c>
      <c r="C11" s="186">
        <v>862</v>
      </c>
      <c r="D11" s="18">
        <v>257200</v>
      </c>
      <c r="E11" s="189">
        <v>54</v>
      </c>
      <c r="F11" s="189">
        <v>4</v>
      </c>
      <c r="G11" s="205">
        <f t="shared" ref="G11:G23" si="0">C11/H11</f>
        <v>0.40130353817504655</v>
      </c>
      <c r="H11" s="225">
        <v>2148</v>
      </c>
      <c r="I11" s="209">
        <v>168200</v>
      </c>
    </row>
    <row r="12" spans="1:9" ht="30" x14ac:dyDescent="0.25">
      <c r="A12" s="41">
        <v>2</v>
      </c>
      <c r="B12" s="184" t="s">
        <v>174</v>
      </c>
      <c r="C12" s="188">
        <v>188</v>
      </c>
      <c r="D12" s="18">
        <v>63780</v>
      </c>
      <c r="E12" s="126">
        <v>23</v>
      </c>
      <c r="F12" s="126">
        <v>3</v>
      </c>
      <c r="G12" s="206">
        <f t="shared" si="0"/>
        <v>0.16982836495031617</v>
      </c>
      <c r="H12" s="226">
        <v>1107</v>
      </c>
      <c r="I12" s="210">
        <v>78000</v>
      </c>
    </row>
    <row r="13" spans="1:9" ht="30" x14ac:dyDescent="0.25">
      <c r="A13" s="41">
        <v>3</v>
      </c>
      <c r="B13" s="184" t="s">
        <v>175</v>
      </c>
      <c r="C13" s="188">
        <v>221</v>
      </c>
      <c r="D13" s="18">
        <v>89350</v>
      </c>
      <c r="E13" s="126">
        <v>25</v>
      </c>
      <c r="F13" s="126">
        <v>4</v>
      </c>
      <c r="G13" s="206">
        <f t="shared" si="0"/>
        <v>2.2783505154639174</v>
      </c>
      <c r="H13" s="226">
        <v>97</v>
      </c>
      <c r="I13" s="210">
        <v>87400</v>
      </c>
    </row>
    <row r="14" spans="1:9" ht="30" x14ac:dyDescent="0.25">
      <c r="A14" s="41">
        <v>4</v>
      </c>
      <c r="B14" s="184" t="s">
        <v>176</v>
      </c>
      <c r="C14" s="188">
        <v>526</v>
      </c>
      <c r="D14" s="18">
        <v>145230</v>
      </c>
      <c r="E14" s="126">
        <v>67</v>
      </c>
      <c r="F14" s="126">
        <v>4</v>
      </c>
      <c r="G14" s="206">
        <f t="shared" si="0"/>
        <v>4.3114754098360653</v>
      </c>
      <c r="H14" s="226">
        <v>122</v>
      </c>
      <c r="I14" s="210">
        <v>140400</v>
      </c>
    </row>
    <row r="15" spans="1:9" x14ac:dyDescent="0.25">
      <c r="A15" s="41">
        <v>5</v>
      </c>
      <c r="B15" s="184" t="s">
        <v>177</v>
      </c>
      <c r="C15" s="188">
        <v>171</v>
      </c>
      <c r="D15" s="18">
        <v>73910</v>
      </c>
      <c r="E15" s="18">
        <v>72</v>
      </c>
      <c r="F15" s="126">
        <v>4</v>
      </c>
      <c r="G15" s="206">
        <f t="shared" si="0"/>
        <v>1.0555555555555556</v>
      </c>
      <c r="H15" s="226">
        <v>162</v>
      </c>
      <c r="I15" s="210">
        <v>475800</v>
      </c>
    </row>
    <row r="16" spans="1:9" x14ac:dyDescent="0.25">
      <c r="A16" s="41">
        <v>6</v>
      </c>
      <c r="B16" s="184" t="s">
        <v>178</v>
      </c>
      <c r="C16" s="188">
        <v>98</v>
      </c>
      <c r="D16" s="18">
        <v>56290</v>
      </c>
      <c r="E16" s="126">
        <v>46</v>
      </c>
      <c r="F16" s="126">
        <v>2</v>
      </c>
      <c r="G16" s="206">
        <f t="shared" si="0"/>
        <v>0.66666666666666663</v>
      </c>
      <c r="H16" s="226">
        <v>147</v>
      </c>
      <c r="I16" s="210">
        <v>358800</v>
      </c>
    </row>
    <row r="17" spans="1:9" x14ac:dyDescent="0.25">
      <c r="A17" s="41">
        <v>7</v>
      </c>
      <c r="B17" s="184" t="s">
        <v>179</v>
      </c>
      <c r="C17" s="188">
        <v>375</v>
      </c>
      <c r="D17" s="18">
        <v>256530</v>
      </c>
      <c r="E17" s="126">
        <v>5</v>
      </c>
      <c r="F17" s="126">
        <v>2</v>
      </c>
      <c r="G17" s="206">
        <f t="shared" si="0"/>
        <v>3.2327586206896552</v>
      </c>
      <c r="H17" s="226">
        <v>116</v>
      </c>
      <c r="I17" s="210">
        <v>124800</v>
      </c>
    </row>
    <row r="18" spans="1:9" x14ac:dyDescent="0.25">
      <c r="A18" s="41">
        <v>8</v>
      </c>
      <c r="B18" s="184" t="s">
        <v>180</v>
      </c>
      <c r="C18" s="188">
        <v>279</v>
      </c>
      <c r="D18" s="18">
        <v>134070</v>
      </c>
      <c r="E18" s="126">
        <v>44</v>
      </c>
      <c r="F18" s="126">
        <v>3</v>
      </c>
      <c r="G18" s="206">
        <f t="shared" si="0"/>
        <v>0.41579731743666171</v>
      </c>
      <c r="H18" s="226">
        <v>671</v>
      </c>
      <c r="I18" s="210">
        <v>507000</v>
      </c>
    </row>
    <row r="19" spans="1:9" x14ac:dyDescent="0.25">
      <c r="A19" s="41">
        <v>9</v>
      </c>
      <c r="B19" s="184" t="s">
        <v>181</v>
      </c>
      <c r="C19" s="188">
        <v>671</v>
      </c>
      <c r="D19" s="18">
        <v>197460</v>
      </c>
      <c r="E19" s="126">
        <v>38</v>
      </c>
      <c r="F19" s="126">
        <v>6</v>
      </c>
      <c r="G19" s="206">
        <f t="shared" si="0"/>
        <v>0.57596566523605153</v>
      </c>
      <c r="H19" s="226">
        <v>1165</v>
      </c>
      <c r="I19" s="210">
        <v>95200</v>
      </c>
    </row>
    <row r="20" spans="1:9" ht="30" x14ac:dyDescent="0.25">
      <c r="A20" s="41">
        <v>10</v>
      </c>
      <c r="B20" s="184" t="s">
        <v>182</v>
      </c>
      <c r="C20" s="188">
        <v>180</v>
      </c>
      <c r="D20" s="18">
        <v>85290</v>
      </c>
      <c r="E20" s="126">
        <v>34</v>
      </c>
      <c r="F20" s="126">
        <v>3</v>
      </c>
      <c r="G20" s="206">
        <f t="shared" si="0"/>
        <v>1.4634146341463414</v>
      </c>
      <c r="H20" s="226">
        <v>123</v>
      </c>
      <c r="I20" s="210">
        <v>101630</v>
      </c>
    </row>
    <row r="21" spans="1:9" ht="30" x14ac:dyDescent="0.25">
      <c r="A21" s="41">
        <v>11</v>
      </c>
      <c r="B21" s="184" t="s">
        <v>183</v>
      </c>
      <c r="C21" s="188">
        <v>4810</v>
      </c>
      <c r="D21" s="18">
        <v>4116000</v>
      </c>
      <c r="E21" s="126">
        <v>0</v>
      </c>
      <c r="F21" s="18">
        <v>8</v>
      </c>
      <c r="G21" s="206">
        <f t="shared" si="0"/>
        <v>6.8613326105872794</v>
      </c>
      <c r="H21" s="226">
        <v>701.03</v>
      </c>
      <c r="I21" s="210">
        <v>337540</v>
      </c>
    </row>
    <row r="22" spans="1:9" ht="30" x14ac:dyDescent="0.25">
      <c r="A22" s="41">
        <v>12</v>
      </c>
      <c r="B22" s="184" t="s">
        <v>184</v>
      </c>
      <c r="C22" s="188">
        <v>374</v>
      </c>
      <c r="D22" s="18">
        <v>131640</v>
      </c>
      <c r="E22" s="126">
        <v>17</v>
      </c>
      <c r="F22" s="126">
        <v>3</v>
      </c>
      <c r="G22" s="206">
        <f t="shared" si="0"/>
        <v>0.30555555555555558</v>
      </c>
      <c r="H22" s="226">
        <v>1224</v>
      </c>
      <c r="I22" s="210">
        <v>163800</v>
      </c>
    </row>
    <row r="23" spans="1:9" ht="16.5" thickBot="1" x14ac:dyDescent="0.25">
      <c r="A23" s="41">
        <v>13</v>
      </c>
      <c r="B23" s="185" t="s">
        <v>185</v>
      </c>
      <c r="C23" s="188">
        <v>402</v>
      </c>
      <c r="D23" s="18">
        <v>127590</v>
      </c>
      <c r="E23" s="126">
        <v>22</v>
      </c>
      <c r="F23" s="126">
        <v>3</v>
      </c>
      <c r="G23" s="207">
        <f t="shared" si="0"/>
        <v>3.9029126213592233</v>
      </c>
      <c r="H23" s="226">
        <v>103</v>
      </c>
      <c r="I23" s="210">
        <v>327600</v>
      </c>
    </row>
    <row r="24" spans="1:9" ht="16.5" thickBot="1" x14ac:dyDescent="0.25">
      <c r="A24" s="20"/>
      <c r="B24" s="21"/>
      <c r="C24" s="22">
        <f>SUM(C11:C23)</f>
        <v>9157</v>
      </c>
      <c r="D24" s="22">
        <f>SUM(D11:D23)</f>
        <v>5734340</v>
      </c>
      <c r="E24" s="198">
        <f>SUM(E11:E23)/12</f>
        <v>37.25</v>
      </c>
      <c r="F24" s="198">
        <f>SUM(F11:F23)/13</f>
        <v>3.7692307692307692</v>
      </c>
      <c r="G24" s="198">
        <f>SUM(G11:G23)/13</f>
        <v>1.9723782365891027</v>
      </c>
      <c r="H24" s="227">
        <f t="shared" ref="H24:I24" si="1">SUM(H11:H23)</f>
        <v>7886.03</v>
      </c>
      <c r="I24" s="190">
        <f t="shared" si="1"/>
        <v>2966170</v>
      </c>
    </row>
  </sheetData>
  <sheetProtection selectLockedCells="1" selectUnlockedCells="1"/>
  <mergeCells count="6">
    <mergeCell ref="A2:I2"/>
    <mergeCell ref="B3:G3"/>
    <mergeCell ref="A5:A9"/>
    <mergeCell ref="B5:B8"/>
    <mergeCell ref="C5:I5"/>
    <mergeCell ref="E6:I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tabSelected="1" view="pageBreakPreview" zoomScale="60" zoomScaleNormal="60" workbookViewId="0">
      <pane xSplit="1" topLeftCell="FP1" activePane="topRight" state="frozen"/>
      <selection pane="topRight" activeCell="GN16" sqref="GN16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7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710937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5" width="13.140625" style="16" customWidth="1"/>
    <col min="156" max="159" width="15" style="16" customWidth="1"/>
    <col min="160" max="160" width="16.42578125" style="16" customWidth="1"/>
    <col min="161" max="161" width="12.42578125" style="16" customWidth="1"/>
    <col min="162" max="165" width="15" style="16" customWidth="1"/>
    <col min="166" max="166" width="16.85546875" style="16" customWidth="1"/>
    <col min="167" max="167" width="10.7109375" style="16" customWidth="1"/>
    <col min="168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79" width="12.140625" style="16" customWidth="1"/>
    <col min="180" max="183" width="15" style="16" customWidth="1"/>
    <col min="184" max="184" width="17.140625" style="16" customWidth="1"/>
    <col min="185" max="186" width="15" style="16" customWidth="1"/>
    <col min="187" max="188" width="14.7109375" style="16" customWidth="1"/>
    <col min="189" max="189" width="15" style="16" customWidth="1"/>
    <col min="190" max="190" width="16.7109375" style="16" customWidth="1"/>
    <col min="191" max="191" width="15" style="16" customWidth="1"/>
    <col min="192" max="192" width="20.140625" style="16" customWidth="1"/>
    <col min="193" max="193" width="20.5703125" style="16" customWidth="1"/>
    <col min="194" max="194" width="17.5703125" style="16" customWidth="1"/>
    <col min="195" max="195" width="0.42578125" style="16" hidden="1" customWidth="1"/>
    <col min="196" max="196" width="17.7109375" style="16" customWidth="1"/>
    <col min="197" max="16384" width="15.28515625" style="16"/>
  </cols>
  <sheetData>
    <row r="1" spans="1:196" s="17" customFormat="1" ht="22.5" customHeight="1" x14ac:dyDescent="0.2">
      <c r="A1" s="128"/>
      <c r="B1" s="128" t="s">
        <v>216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5" thickBot="1" x14ac:dyDescent="0.25"/>
    <row r="3" spans="1:196" s="36" customFormat="1" ht="34.5" customHeight="1" thickBot="1" x14ac:dyDescent="0.25">
      <c r="A3" s="281" t="s">
        <v>7</v>
      </c>
      <c r="B3" s="284" t="s">
        <v>58</v>
      </c>
      <c r="C3" s="287" t="s">
        <v>9</v>
      </c>
      <c r="D3" s="288"/>
      <c r="E3" s="288"/>
      <c r="F3" s="289"/>
      <c r="G3" s="255" t="s">
        <v>59</v>
      </c>
      <c r="H3" s="256"/>
      <c r="I3" s="256"/>
      <c r="J3" s="257"/>
      <c r="K3" s="263" t="s">
        <v>79</v>
      </c>
      <c r="L3" s="69" t="s">
        <v>51</v>
      </c>
      <c r="M3" s="260" t="s">
        <v>75</v>
      </c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  <c r="AU3" s="261"/>
      <c r="AV3" s="261"/>
      <c r="AW3" s="261"/>
      <c r="AX3" s="261"/>
      <c r="AY3" s="261"/>
      <c r="AZ3" s="261"/>
      <c r="BA3" s="261"/>
      <c r="BB3" s="261"/>
      <c r="BC3" s="261"/>
      <c r="BD3" s="261"/>
      <c r="BE3" s="261"/>
      <c r="BF3" s="261"/>
      <c r="BG3" s="261"/>
      <c r="BH3" s="261"/>
      <c r="BI3" s="261"/>
      <c r="BJ3" s="261"/>
      <c r="BK3" s="261"/>
      <c r="BL3" s="261"/>
      <c r="BM3" s="261"/>
      <c r="BN3" s="261"/>
      <c r="BO3" s="261"/>
      <c r="BP3" s="261"/>
      <c r="BQ3" s="261"/>
      <c r="BR3" s="261"/>
      <c r="BS3" s="262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70" t="s">
        <v>80</v>
      </c>
      <c r="GK3" s="278" t="s">
        <v>81</v>
      </c>
      <c r="GL3" s="273" t="s">
        <v>78</v>
      </c>
      <c r="GN3" s="252" t="s">
        <v>198</v>
      </c>
    </row>
    <row r="4" spans="1:196" s="26" customFormat="1" ht="29.25" customHeight="1" x14ac:dyDescent="0.2">
      <c r="A4" s="282"/>
      <c r="B4" s="285"/>
      <c r="C4" s="292" t="s">
        <v>10</v>
      </c>
      <c r="D4" s="293"/>
      <c r="E4" s="292" t="s">
        <v>11</v>
      </c>
      <c r="F4" s="293"/>
      <c r="G4" s="294" t="s">
        <v>195</v>
      </c>
      <c r="H4" s="276" t="s">
        <v>12</v>
      </c>
      <c r="I4" s="276" t="s">
        <v>64</v>
      </c>
      <c r="J4" s="258" t="s">
        <v>67</v>
      </c>
      <c r="K4" s="264"/>
      <c r="L4" s="296" t="s">
        <v>76</v>
      </c>
      <c r="M4" s="266" t="s">
        <v>13</v>
      </c>
      <c r="N4" s="267"/>
      <c r="O4" s="267"/>
      <c r="P4" s="267"/>
      <c r="Q4" s="268"/>
      <c r="R4" s="266" t="s">
        <v>14</v>
      </c>
      <c r="S4" s="267"/>
      <c r="T4" s="267"/>
      <c r="U4" s="267"/>
      <c r="V4" s="267"/>
      <c r="W4" s="268"/>
      <c r="X4" s="266" t="s">
        <v>15</v>
      </c>
      <c r="Y4" s="267"/>
      <c r="Z4" s="267"/>
      <c r="AA4" s="267"/>
      <c r="AB4" s="267"/>
      <c r="AC4" s="268"/>
      <c r="AD4" s="266" t="s">
        <v>16</v>
      </c>
      <c r="AE4" s="267"/>
      <c r="AF4" s="267"/>
      <c r="AG4" s="267"/>
      <c r="AH4" s="267"/>
      <c r="AI4" s="268"/>
      <c r="AJ4" s="266" t="s">
        <v>17</v>
      </c>
      <c r="AK4" s="267"/>
      <c r="AL4" s="267"/>
      <c r="AM4" s="267"/>
      <c r="AN4" s="267"/>
      <c r="AO4" s="268"/>
      <c r="AP4" s="266" t="s">
        <v>18</v>
      </c>
      <c r="AQ4" s="267"/>
      <c r="AR4" s="267"/>
      <c r="AS4" s="267"/>
      <c r="AT4" s="267"/>
      <c r="AU4" s="268"/>
      <c r="AV4" s="266" t="s">
        <v>19</v>
      </c>
      <c r="AW4" s="267"/>
      <c r="AX4" s="267"/>
      <c r="AY4" s="267"/>
      <c r="AZ4" s="267"/>
      <c r="BA4" s="268"/>
      <c r="BB4" s="266" t="s">
        <v>20</v>
      </c>
      <c r="BC4" s="267"/>
      <c r="BD4" s="267"/>
      <c r="BE4" s="267"/>
      <c r="BF4" s="267"/>
      <c r="BG4" s="268"/>
      <c r="BH4" s="266" t="s">
        <v>21</v>
      </c>
      <c r="BI4" s="267"/>
      <c r="BJ4" s="267"/>
      <c r="BK4" s="267"/>
      <c r="BL4" s="267"/>
      <c r="BM4" s="268"/>
      <c r="BN4" s="266" t="s">
        <v>22</v>
      </c>
      <c r="BO4" s="267"/>
      <c r="BP4" s="267"/>
      <c r="BQ4" s="267"/>
      <c r="BR4" s="267"/>
      <c r="BS4" s="269"/>
      <c r="BT4" s="266" t="s">
        <v>84</v>
      </c>
      <c r="BU4" s="267"/>
      <c r="BV4" s="267"/>
      <c r="BW4" s="267"/>
      <c r="BX4" s="267"/>
      <c r="BY4" s="269"/>
      <c r="BZ4" s="266" t="s">
        <v>87</v>
      </c>
      <c r="CA4" s="267"/>
      <c r="CB4" s="267"/>
      <c r="CC4" s="267"/>
      <c r="CD4" s="267"/>
      <c r="CE4" s="269"/>
      <c r="CF4" s="266" t="s">
        <v>88</v>
      </c>
      <c r="CG4" s="267"/>
      <c r="CH4" s="267"/>
      <c r="CI4" s="267"/>
      <c r="CJ4" s="267"/>
      <c r="CK4" s="269"/>
      <c r="CL4" s="266" t="s">
        <v>93</v>
      </c>
      <c r="CM4" s="267"/>
      <c r="CN4" s="267"/>
      <c r="CO4" s="267"/>
      <c r="CP4" s="267"/>
      <c r="CQ4" s="269"/>
      <c r="CR4" s="266" t="s">
        <v>96</v>
      </c>
      <c r="CS4" s="267"/>
      <c r="CT4" s="267"/>
      <c r="CU4" s="267"/>
      <c r="CV4" s="267"/>
      <c r="CW4" s="269"/>
      <c r="CX4" s="266" t="s">
        <v>99</v>
      </c>
      <c r="CY4" s="267"/>
      <c r="CZ4" s="267"/>
      <c r="DA4" s="267"/>
      <c r="DB4" s="267"/>
      <c r="DC4" s="269"/>
      <c r="DD4" s="266" t="s">
        <v>102</v>
      </c>
      <c r="DE4" s="267"/>
      <c r="DF4" s="267"/>
      <c r="DG4" s="267"/>
      <c r="DH4" s="267"/>
      <c r="DI4" s="269"/>
      <c r="DJ4" s="266" t="s">
        <v>105</v>
      </c>
      <c r="DK4" s="267"/>
      <c r="DL4" s="267"/>
      <c r="DM4" s="267"/>
      <c r="DN4" s="267"/>
      <c r="DO4" s="269"/>
      <c r="DP4" s="266" t="s">
        <v>108</v>
      </c>
      <c r="DQ4" s="267"/>
      <c r="DR4" s="267"/>
      <c r="DS4" s="267"/>
      <c r="DT4" s="267"/>
      <c r="DU4" s="269"/>
      <c r="DV4" s="266" t="s">
        <v>111</v>
      </c>
      <c r="DW4" s="267"/>
      <c r="DX4" s="267"/>
      <c r="DY4" s="267"/>
      <c r="DZ4" s="267"/>
      <c r="EA4" s="269"/>
      <c r="EB4" s="266" t="s">
        <v>133</v>
      </c>
      <c r="EC4" s="267"/>
      <c r="ED4" s="267"/>
      <c r="EE4" s="267"/>
      <c r="EF4" s="267"/>
      <c r="EG4" s="269"/>
      <c r="EH4" s="266" t="s">
        <v>137</v>
      </c>
      <c r="EI4" s="267"/>
      <c r="EJ4" s="267"/>
      <c r="EK4" s="267"/>
      <c r="EL4" s="267"/>
      <c r="EM4" s="269"/>
      <c r="EN4" s="266" t="s">
        <v>141</v>
      </c>
      <c r="EO4" s="267"/>
      <c r="EP4" s="267"/>
      <c r="EQ4" s="267"/>
      <c r="ER4" s="267"/>
      <c r="ES4" s="269"/>
      <c r="ET4" s="266" t="s">
        <v>145</v>
      </c>
      <c r="EU4" s="267"/>
      <c r="EV4" s="267"/>
      <c r="EW4" s="267"/>
      <c r="EX4" s="267"/>
      <c r="EY4" s="269"/>
      <c r="EZ4" s="266" t="s">
        <v>149</v>
      </c>
      <c r="FA4" s="267"/>
      <c r="FB4" s="267"/>
      <c r="FC4" s="267"/>
      <c r="FD4" s="267"/>
      <c r="FE4" s="269"/>
      <c r="FF4" s="266" t="s">
        <v>153</v>
      </c>
      <c r="FG4" s="267"/>
      <c r="FH4" s="267"/>
      <c r="FI4" s="267"/>
      <c r="FJ4" s="267"/>
      <c r="FK4" s="269"/>
      <c r="FL4" s="266" t="s">
        <v>157</v>
      </c>
      <c r="FM4" s="267"/>
      <c r="FN4" s="267"/>
      <c r="FO4" s="267"/>
      <c r="FP4" s="267"/>
      <c r="FQ4" s="269"/>
      <c r="FR4" s="266" t="s">
        <v>161</v>
      </c>
      <c r="FS4" s="267"/>
      <c r="FT4" s="267"/>
      <c r="FU4" s="267"/>
      <c r="FV4" s="267"/>
      <c r="FW4" s="269"/>
      <c r="FX4" s="266" t="s">
        <v>165</v>
      </c>
      <c r="FY4" s="267"/>
      <c r="FZ4" s="267"/>
      <c r="GA4" s="267"/>
      <c r="GB4" s="267"/>
      <c r="GC4" s="269"/>
      <c r="GD4" s="266" t="s">
        <v>168</v>
      </c>
      <c r="GE4" s="267"/>
      <c r="GF4" s="267"/>
      <c r="GG4" s="267"/>
      <c r="GH4" s="267"/>
      <c r="GI4" s="269"/>
      <c r="GJ4" s="271"/>
      <c r="GK4" s="279"/>
      <c r="GL4" s="274"/>
      <c r="GN4" s="298"/>
    </row>
    <row r="5" spans="1:196" s="26" customFormat="1" ht="246" customHeight="1" thickBot="1" x14ac:dyDescent="0.25">
      <c r="A5" s="282"/>
      <c r="B5" s="286"/>
      <c r="C5" s="290" t="s">
        <v>197</v>
      </c>
      <c r="D5" s="291"/>
      <c r="E5" s="290" t="s">
        <v>73</v>
      </c>
      <c r="F5" s="291"/>
      <c r="G5" s="295"/>
      <c r="H5" s="277"/>
      <c r="I5" s="277"/>
      <c r="J5" s="259"/>
      <c r="K5" s="265"/>
      <c r="L5" s="297"/>
      <c r="M5" s="66" t="s">
        <v>57</v>
      </c>
      <c r="N5" s="203" t="s">
        <v>123</v>
      </c>
      <c r="O5" s="203" t="s">
        <v>65</v>
      </c>
      <c r="P5" s="203" t="s">
        <v>77</v>
      </c>
      <c r="Q5" s="68" t="s">
        <v>23</v>
      </c>
      <c r="R5" s="66" t="s">
        <v>24</v>
      </c>
      <c r="S5" s="203" t="s">
        <v>124</v>
      </c>
      <c r="T5" s="203" t="s">
        <v>57</v>
      </c>
      <c r="U5" s="203" t="s">
        <v>65</v>
      </c>
      <c r="V5" s="203" t="s">
        <v>77</v>
      </c>
      <c r="W5" s="68" t="s">
        <v>25</v>
      </c>
      <c r="X5" s="66" t="s">
        <v>26</v>
      </c>
      <c r="Y5" s="203" t="s">
        <v>125</v>
      </c>
      <c r="Z5" s="203" t="s">
        <v>57</v>
      </c>
      <c r="AA5" s="203" t="s">
        <v>65</v>
      </c>
      <c r="AB5" s="203" t="s">
        <v>77</v>
      </c>
      <c r="AC5" s="68" t="s">
        <v>27</v>
      </c>
      <c r="AD5" s="66" t="s">
        <v>28</v>
      </c>
      <c r="AE5" s="203" t="s">
        <v>126</v>
      </c>
      <c r="AF5" s="203" t="s">
        <v>57</v>
      </c>
      <c r="AG5" s="203" t="s">
        <v>65</v>
      </c>
      <c r="AH5" s="203" t="s">
        <v>77</v>
      </c>
      <c r="AI5" s="68" t="s">
        <v>29</v>
      </c>
      <c r="AJ5" s="66" t="s">
        <v>30</v>
      </c>
      <c r="AK5" s="203" t="s">
        <v>127</v>
      </c>
      <c r="AL5" s="203" t="s">
        <v>57</v>
      </c>
      <c r="AM5" s="203" t="s">
        <v>65</v>
      </c>
      <c r="AN5" s="203" t="s">
        <v>77</v>
      </c>
      <c r="AO5" s="68" t="s">
        <v>31</v>
      </c>
      <c r="AP5" s="66" t="s">
        <v>32</v>
      </c>
      <c r="AQ5" s="203" t="s">
        <v>128</v>
      </c>
      <c r="AR5" s="203" t="s">
        <v>57</v>
      </c>
      <c r="AS5" s="203" t="s">
        <v>65</v>
      </c>
      <c r="AT5" s="203" t="s">
        <v>77</v>
      </c>
      <c r="AU5" s="68" t="s">
        <v>33</v>
      </c>
      <c r="AV5" s="66" t="s">
        <v>34</v>
      </c>
      <c r="AW5" s="203" t="s">
        <v>129</v>
      </c>
      <c r="AX5" s="203" t="s">
        <v>57</v>
      </c>
      <c r="AY5" s="203" t="s">
        <v>65</v>
      </c>
      <c r="AZ5" s="203" t="s">
        <v>77</v>
      </c>
      <c r="BA5" s="68" t="s">
        <v>35</v>
      </c>
      <c r="BB5" s="66" t="s">
        <v>36</v>
      </c>
      <c r="BC5" s="203" t="s">
        <v>130</v>
      </c>
      <c r="BD5" s="203" t="s">
        <v>57</v>
      </c>
      <c r="BE5" s="203" t="s">
        <v>65</v>
      </c>
      <c r="BF5" s="203" t="s">
        <v>77</v>
      </c>
      <c r="BG5" s="68" t="s">
        <v>37</v>
      </c>
      <c r="BH5" s="66" t="s">
        <v>38</v>
      </c>
      <c r="BI5" s="203" t="s">
        <v>131</v>
      </c>
      <c r="BJ5" s="203" t="s">
        <v>57</v>
      </c>
      <c r="BK5" s="203" t="s">
        <v>65</v>
      </c>
      <c r="BL5" s="203" t="s">
        <v>77</v>
      </c>
      <c r="BM5" s="68" t="s">
        <v>39</v>
      </c>
      <c r="BN5" s="66" t="s">
        <v>40</v>
      </c>
      <c r="BO5" s="203" t="s">
        <v>132</v>
      </c>
      <c r="BP5" s="203" t="s">
        <v>57</v>
      </c>
      <c r="BQ5" s="203" t="s">
        <v>65</v>
      </c>
      <c r="BR5" s="203" t="s">
        <v>77</v>
      </c>
      <c r="BS5" s="204" t="s">
        <v>41</v>
      </c>
      <c r="BT5" s="66" t="s">
        <v>85</v>
      </c>
      <c r="BU5" s="203" t="s">
        <v>114</v>
      </c>
      <c r="BV5" s="203" t="s">
        <v>57</v>
      </c>
      <c r="BW5" s="203" t="s">
        <v>65</v>
      </c>
      <c r="BX5" s="203" t="s">
        <v>77</v>
      </c>
      <c r="BY5" s="204" t="s">
        <v>86</v>
      </c>
      <c r="BZ5" s="66" t="s">
        <v>89</v>
      </c>
      <c r="CA5" s="203" t="s">
        <v>115</v>
      </c>
      <c r="CB5" s="203" t="s">
        <v>57</v>
      </c>
      <c r="CC5" s="203" t="s">
        <v>65</v>
      </c>
      <c r="CD5" s="203" t="s">
        <v>77</v>
      </c>
      <c r="CE5" s="204" t="s">
        <v>90</v>
      </c>
      <c r="CF5" s="66" t="s">
        <v>91</v>
      </c>
      <c r="CG5" s="203" t="s">
        <v>116</v>
      </c>
      <c r="CH5" s="203" t="s">
        <v>57</v>
      </c>
      <c r="CI5" s="203" t="s">
        <v>65</v>
      </c>
      <c r="CJ5" s="203" t="s">
        <v>77</v>
      </c>
      <c r="CK5" s="204" t="s">
        <v>92</v>
      </c>
      <c r="CL5" s="66" t="s">
        <v>94</v>
      </c>
      <c r="CM5" s="203" t="s">
        <v>117</v>
      </c>
      <c r="CN5" s="203" t="s">
        <v>57</v>
      </c>
      <c r="CO5" s="203" t="s">
        <v>65</v>
      </c>
      <c r="CP5" s="203" t="s">
        <v>77</v>
      </c>
      <c r="CQ5" s="204" t="s">
        <v>95</v>
      </c>
      <c r="CR5" s="66" t="s">
        <v>97</v>
      </c>
      <c r="CS5" s="203" t="s">
        <v>118</v>
      </c>
      <c r="CT5" s="203" t="s">
        <v>57</v>
      </c>
      <c r="CU5" s="203" t="s">
        <v>65</v>
      </c>
      <c r="CV5" s="203" t="s">
        <v>77</v>
      </c>
      <c r="CW5" s="204" t="s">
        <v>98</v>
      </c>
      <c r="CX5" s="66" t="s">
        <v>100</v>
      </c>
      <c r="CY5" s="203" t="s">
        <v>119</v>
      </c>
      <c r="CZ5" s="203" t="s">
        <v>57</v>
      </c>
      <c r="DA5" s="203" t="s">
        <v>65</v>
      </c>
      <c r="DB5" s="203" t="s">
        <v>77</v>
      </c>
      <c r="DC5" s="204" t="s">
        <v>101</v>
      </c>
      <c r="DD5" s="66" t="s">
        <v>103</v>
      </c>
      <c r="DE5" s="203" t="s">
        <v>120</v>
      </c>
      <c r="DF5" s="203" t="s">
        <v>57</v>
      </c>
      <c r="DG5" s="203" t="s">
        <v>65</v>
      </c>
      <c r="DH5" s="203" t="s">
        <v>77</v>
      </c>
      <c r="DI5" s="204" t="s">
        <v>104</v>
      </c>
      <c r="DJ5" s="66" t="s">
        <v>106</v>
      </c>
      <c r="DK5" s="203" t="s">
        <v>66</v>
      </c>
      <c r="DL5" s="203" t="s">
        <v>57</v>
      </c>
      <c r="DM5" s="203" t="s">
        <v>65</v>
      </c>
      <c r="DN5" s="203" t="s">
        <v>77</v>
      </c>
      <c r="DO5" s="204" t="s">
        <v>107</v>
      </c>
      <c r="DP5" s="66" t="s">
        <v>109</v>
      </c>
      <c r="DQ5" s="203" t="s">
        <v>121</v>
      </c>
      <c r="DR5" s="203" t="s">
        <v>57</v>
      </c>
      <c r="DS5" s="203" t="s">
        <v>65</v>
      </c>
      <c r="DT5" s="203" t="s">
        <v>77</v>
      </c>
      <c r="DU5" s="204" t="s">
        <v>110</v>
      </c>
      <c r="DV5" s="66" t="s">
        <v>113</v>
      </c>
      <c r="DW5" s="203" t="s">
        <v>122</v>
      </c>
      <c r="DX5" s="203" t="s">
        <v>57</v>
      </c>
      <c r="DY5" s="203" t="s">
        <v>65</v>
      </c>
      <c r="DZ5" s="203" t="s">
        <v>77</v>
      </c>
      <c r="EA5" s="204" t="s">
        <v>112</v>
      </c>
      <c r="EB5" s="66" t="s">
        <v>134</v>
      </c>
      <c r="EC5" s="203" t="s">
        <v>135</v>
      </c>
      <c r="ED5" s="203" t="s">
        <v>57</v>
      </c>
      <c r="EE5" s="203" t="s">
        <v>65</v>
      </c>
      <c r="EF5" s="203" t="s">
        <v>77</v>
      </c>
      <c r="EG5" s="204" t="s">
        <v>136</v>
      </c>
      <c r="EH5" s="66" t="s">
        <v>138</v>
      </c>
      <c r="EI5" s="203" t="s">
        <v>139</v>
      </c>
      <c r="EJ5" s="203" t="s">
        <v>57</v>
      </c>
      <c r="EK5" s="203" t="s">
        <v>65</v>
      </c>
      <c r="EL5" s="203" t="s">
        <v>77</v>
      </c>
      <c r="EM5" s="204" t="s">
        <v>140</v>
      </c>
      <c r="EN5" s="66" t="s">
        <v>142</v>
      </c>
      <c r="EO5" s="203" t="s">
        <v>143</v>
      </c>
      <c r="EP5" s="203" t="s">
        <v>57</v>
      </c>
      <c r="EQ5" s="203" t="s">
        <v>65</v>
      </c>
      <c r="ER5" s="203" t="s">
        <v>77</v>
      </c>
      <c r="ES5" s="204" t="s">
        <v>144</v>
      </c>
      <c r="ET5" s="66" t="s">
        <v>146</v>
      </c>
      <c r="EU5" s="203" t="s">
        <v>147</v>
      </c>
      <c r="EV5" s="203" t="s">
        <v>57</v>
      </c>
      <c r="EW5" s="203" t="s">
        <v>65</v>
      </c>
      <c r="EX5" s="203" t="s">
        <v>77</v>
      </c>
      <c r="EY5" s="204" t="s">
        <v>148</v>
      </c>
      <c r="EZ5" s="66" t="s">
        <v>150</v>
      </c>
      <c r="FA5" s="203" t="s">
        <v>151</v>
      </c>
      <c r="FB5" s="203" t="s">
        <v>57</v>
      </c>
      <c r="FC5" s="203" t="s">
        <v>65</v>
      </c>
      <c r="FD5" s="203" t="s">
        <v>77</v>
      </c>
      <c r="FE5" s="204" t="s">
        <v>152</v>
      </c>
      <c r="FF5" s="66" t="s">
        <v>154</v>
      </c>
      <c r="FG5" s="203" t="s">
        <v>155</v>
      </c>
      <c r="FH5" s="203" t="s">
        <v>57</v>
      </c>
      <c r="FI5" s="203" t="s">
        <v>65</v>
      </c>
      <c r="FJ5" s="203" t="s">
        <v>77</v>
      </c>
      <c r="FK5" s="204" t="s">
        <v>156</v>
      </c>
      <c r="FL5" s="66" t="s">
        <v>158</v>
      </c>
      <c r="FM5" s="203" t="s">
        <v>159</v>
      </c>
      <c r="FN5" s="203" t="s">
        <v>57</v>
      </c>
      <c r="FO5" s="203" t="s">
        <v>65</v>
      </c>
      <c r="FP5" s="203" t="s">
        <v>77</v>
      </c>
      <c r="FQ5" s="204" t="s">
        <v>160</v>
      </c>
      <c r="FR5" s="66" t="s">
        <v>162</v>
      </c>
      <c r="FS5" s="203" t="s">
        <v>163</v>
      </c>
      <c r="FT5" s="203" t="s">
        <v>57</v>
      </c>
      <c r="FU5" s="203" t="s">
        <v>65</v>
      </c>
      <c r="FV5" s="203" t="s">
        <v>77</v>
      </c>
      <c r="FW5" s="204" t="s">
        <v>164</v>
      </c>
      <c r="FX5" s="66" t="s">
        <v>166</v>
      </c>
      <c r="FY5" s="203" t="s">
        <v>170</v>
      </c>
      <c r="FZ5" s="203" t="s">
        <v>57</v>
      </c>
      <c r="GA5" s="203" t="s">
        <v>65</v>
      </c>
      <c r="GB5" s="203" t="s">
        <v>77</v>
      </c>
      <c r="GC5" s="204" t="s">
        <v>167</v>
      </c>
      <c r="GD5" s="66" t="s">
        <v>169</v>
      </c>
      <c r="GE5" s="203" t="s">
        <v>171</v>
      </c>
      <c r="GF5" s="203" t="s">
        <v>57</v>
      </c>
      <c r="GG5" s="203" t="s">
        <v>65</v>
      </c>
      <c r="GH5" s="203" t="s">
        <v>77</v>
      </c>
      <c r="GI5" s="204" t="s">
        <v>172</v>
      </c>
      <c r="GJ5" s="272"/>
      <c r="GK5" s="280"/>
      <c r="GL5" s="275"/>
      <c r="GN5" s="299"/>
    </row>
    <row r="6" spans="1:196" s="26" customFormat="1" ht="19.5" thickBot="1" x14ac:dyDescent="0.25">
      <c r="A6" s="283"/>
      <c r="B6" s="10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6" t="s">
        <v>69</v>
      </c>
      <c r="K6" s="12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6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6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6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6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6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6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6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6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6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6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6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6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6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6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6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6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6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6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6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6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6" t="s">
        <v>52</v>
      </c>
      <c r="GJ6" s="171" t="s">
        <v>52</v>
      </c>
      <c r="GK6" s="169" t="s">
        <v>60</v>
      </c>
      <c r="GL6" s="83" t="s">
        <v>74</v>
      </c>
      <c r="GN6" s="211"/>
    </row>
    <row r="7" spans="1:196" s="27" customFormat="1" thickBot="1" x14ac:dyDescent="0.25">
      <c r="A7" s="106">
        <v>1</v>
      </c>
      <c r="B7" s="11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5">
        <f>F7+1</f>
        <v>7</v>
      </c>
      <c r="H7" s="61">
        <f t="shared" si="0"/>
        <v>8</v>
      </c>
      <c r="I7" s="61">
        <f t="shared" si="0"/>
        <v>9</v>
      </c>
      <c r="J7" s="117">
        <f>I7+1</f>
        <v>10</v>
      </c>
      <c r="K7" s="122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7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7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7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7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7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7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7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7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7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7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7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7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7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7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7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7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7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7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7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7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7">
        <f t="shared" si="21"/>
        <v>191</v>
      </c>
      <c r="GJ7" s="62">
        <f>GI7+1</f>
        <v>192</v>
      </c>
      <c r="GK7" s="170">
        <f>GJ7+1</f>
        <v>193</v>
      </c>
      <c r="GL7" s="84">
        <f>GK7+1</f>
        <v>194</v>
      </c>
      <c r="GN7" s="212"/>
    </row>
    <row r="8" spans="1:196" s="28" customFormat="1" thickBot="1" x14ac:dyDescent="0.25">
      <c r="A8" s="107" t="s">
        <v>3</v>
      </c>
      <c r="B8" s="11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8" t="s">
        <v>68</v>
      </c>
      <c r="K8" s="12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6" t="s">
        <v>4</v>
      </c>
      <c r="EA8" s="11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6" t="s">
        <v>4</v>
      </c>
      <c r="EG8" s="11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6" t="s">
        <v>4</v>
      </c>
      <c r="EM8" s="11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6" t="s">
        <v>4</v>
      </c>
      <c r="EY8" s="11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6" t="s">
        <v>4</v>
      </c>
      <c r="FE8" s="11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6" t="s">
        <v>4</v>
      </c>
      <c r="FK8" s="11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6" t="s">
        <v>4</v>
      </c>
      <c r="FQ8" s="11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6" t="s">
        <v>4</v>
      </c>
      <c r="FW8" s="11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6" t="s">
        <v>4</v>
      </c>
      <c r="GC8" s="11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6" t="s">
        <v>4</v>
      </c>
      <c r="GI8" s="118" t="s">
        <v>4</v>
      </c>
      <c r="GJ8" s="173" t="s">
        <v>4</v>
      </c>
      <c r="GK8" s="172" t="s">
        <v>4</v>
      </c>
      <c r="GL8" s="85" t="s">
        <v>50</v>
      </c>
      <c r="GN8" s="213" t="s">
        <v>199</v>
      </c>
    </row>
    <row r="9" spans="1:196" s="25" customFormat="1" ht="30.75" thickBot="1" x14ac:dyDescent="0.3">
      <c r="A9" s="183" t="s">
        <v>173</v>
      </c>
      <c r="B9" s="154" t="s">
        <v>8</v>
      </c>
      <c r="C9" s="154" t="s">
        <v>8</v>
      </c>
      <c r="D9" s="154" t="s">
        <v>8</v>
      </c>
      <c r="E9" s="154" t="s">
        <v>8</v>
      </c>
      <c r="F9" s="154" t="s">
        <v>8</v>
      </c>
      <c r="G9" s="112">
        <f>'Исходные данные 25 г.'!C11</f>
        <v>862</v>
      </c>
      <c r="H9" s="49">
        <f>'Исходные данные 2026 г. '!D11</f>
        <v>257200</v>
      </c>
      <c r="I9" s="50">
        <f>'Расчет КРП'!H7</f>
        <v>5.3130482164321498</v>
      </c>
      <c r="J9" s="119" t="s">
        <v>8</v>
      </c>
      <c r="K9" s="157">
        <f t="shared" ref="K9:K21" si="22">((H9/G9)/($H$22/$G$22))/I9</f>
        <v>8.9678785050653728E-2</v>
      </c>
      <c r="L9" s="158">
        <f t="shared" ref="L9:L21" si="23">$D$22*G9/$G$22</f>
        <v>838227.29012121877</v>
      </c>
      <c r="M9" s="162">
        <f t="shared" ref="M9:M21" si="24">(((H9+L9)/G9)/$J$22)/I9</f>
        <v>0.38194630050311379</v>
      </c>
      <c r="N9" s="163" t="s">
        <v>8</v>
      </c>
      <c r="O9" s="164">
        <f t="shared" ref="O9:O21" si="25">$N$22-M9</f>
        <v>5.275766026561074E-2</v>
      </c>
      <c r="P9" s="177">
        <f>IF(O9&gt;0,G9*I9*(($H$22+$L$22)/$G$22)*O9,0)</f>
        <v>386268.15803703648</v>
      </c>
      <c r="Q9" s="165">
        <f t="shared" ref="Q9:Q21" si="26">IF(($F$22-P$22)&gt;0,P9,$F$22*P9/P$22)</f>
        <v>386268.15803703648</v>
      </c>
      <c r="R9" s="159" t="s">
        <v>8</v>
      </c>
      <c r="S9" s="48" t="s">
        <v>8</v>
      </c>
      <c r="T9" s="52">
        <f t="shared" ref="T9:T21" si="27">(((H9+L9+Q9)/G9)/$J$22)/I9</f>
        <v>0.51662771230916094</v>
      </c>
      <c r="U9" s="51">
        <f t="shared" ref="U9:U21" si="28">S$22-T9</f>
        <v>0.1047638824786491</v>
      </c>
      <c r="V9" s="53">
        <f t="shared" ref="V9:V21" si="29">IF(U9&gt;0,$G9*$I9*(($H$22+$L$22+$Q$22)/$G$22)*U9,0)</f>
        <v>932824.6770024806</v>
      </c>
      <c r="W9" s="79">
        <f t="shared" ref="W9:W21" si="30">IF((R$22-V$22)&gt;0,V9,R$22*V9/V$22)</f>
        <v>932824.6770024806</v>
      </c>
      <c r="X9" s="75" t="s">
        <v>8</v>
      </c>
      <c r="Y9" s="48" t="s">
        <v>8</v>
      </c>
      <c r="Z9" s="52">
        <f t="shared" ref="Z9:Z21" si="31">(((H9+L9+Q9+W9)/G9)/$J$22)/I9</f>
        <v>0.84187881533735287</v>
      </c>
      <c r="AA9" s="51">
        <f t="shared" ref="AA9:AA21" si="32">Y$22-Z9</f>
        <v>-8.009849108785283E-2</v>
      </c>
      <c r="AB9" s="53">
        <f t="shared" ref="AB9:AB21" si="33">IF(AA9&gt;0,$G9*$I9*(($H$22+$L$22+$Q$22+$W$22)/$G$22)*AA9,0)</f>
        <v>0</v>
      </c>
      <c r="AC9" s="79">
        <f t="shared" ref="AC9:AC21" si="34">IF((X$22-AB$22)&gt;0,AB9,X$22*AB9/AB$22)</f>
        <v>0</v>
      </c>
      <c r="AD9" s="75" t="s">
        <v>8</v>
      </c>
      <c r="AE9" s="48" t="s">
        <v>8</v>
      </c>
      <c r="AF9" s="52">
        <f t="shared" ref="AF9:AF21" si="35">(((H9+L9+Q9+W9+AC9)/G9)/$J$22)/I9</f>
        <v>0.84187881533735287</v>
      </c>
      <c r="AG9" s="51">
        <f t="shared" ref="AG9:AG21" si="36">AE$22-AF9</f>
        <v>2.279010859343944E-2</v>
      </c>
      <c r="AH9" s="53">
        <f t="shared" ref="AH9:AH21" si="37">IF(AG9&gt;0,$G9*$I9*(($H$22+$L$22+$Q$22+$W$22+$AC$22)/$G$22)*AG9,0)</f>
        <v>256865.5665816869</v>
      </c>
      <c r="AI9" s="79">
        <f t="shared" ref="AI9:AI21" si="38">IF((AD$22-AH$22)&gt;0,AH9,AD$22*AH9/AH$22)</f>
        <v>0</v>
      </c>
      <c r="AJ9" s="75" t="s">
        <v>8</v>
      </c>
      <c r="AK9" s="48" t="s">
        <v>8</v>
      </c>
      <c r="AL9" s="52">
        <f t="shared" ref="AL9:AL21" si="39">(((H9+L9+Q9+W9+AC9+AI9)/G9)/$J$22)/I9</f>
        <v>0.84187881533735287</v>
      </c>
      <c r="AM9" s="51">
        <f t="shared" ref="AM9:AM21" si="40">AK$22-AL9</f>
        <v>2.279010859343944E-2</v>
      </c>
      <c r="AN9" s="53">
        <f t="shared" ref="AN9:AN21" si="41">IF(AM9&gt;0,$G9*$I9*(($H$22+$L$22+$Q$22+$W$22+$AC$22+$AI$22)/$G$22)*AM9,0)</f>
        <v>256865.5665816869</v>
      </c>
      <c r="AO9" s="79">
        <f t="shared" ref="AO9:AO21" si="42">IF((AJ$22-AN$22)&gt;0,AN9,AJ$22*AN9/AN$22)</f>
        <v>0</v>
      </c>
      <c r="AP9" s="75" t="s">
        <v>8</v>
      </c>
      <c r="AQ9" s="48" t="s">
        <v>8</v>
      </c>
      <c r="AR9" s="52">
        <f t="shared" ref="AR9:AR21" si="43">(((H9+L9+Q9+W9+AC9+AI9+AO9)/G9)/$J$22)/I9</f>
        <v>0.84187881533735287</v>
      </c>
      <c r="AS9" s="51">
        <f t="shared" ref="AS9:AS21" si="44">AQ$22-AR9</f>
        <v>2.279010859343944E-2</v>
      </c>
      <c r="AT9" s="53">
        <f t="shared" ref="AT9:AT21" si="45">IF(AS9&gt;0,$G9*$I9*(($H$22+$L$22+$Q$22+$W$22+$AC$22+$AI$22+$AO$22)/$G$22)*AS9,0)</f>
        <v>256865.5665816869</v>
      </c>
      <c r="AU9" s="79">
        <f t="shared" ref="AU9:AU21" si="46">IF((AP$22-AT$22)&gt;0,AT9,AP$22*AT9/AT$22)</f>
        <v>0</v>
      </c>
      <c r="AV9" s="75" t="s">
        <v>8</v>
      </c>
      <c r="AW9" s="48" t="s">
        <v>8</v>
      </c>
      <c r="AX9" s="52">
        <f t="shared" ref="AX9:AX21" si="47">(((H9+L9+Q9+W9+AC9+AI9+AO9+AU9)/G9)/$J$22)/I9</f>
        <v>0.84187881533735287</v>
      </c>
      <c r="AY9" s="51">
        <f t="shared" ref="AY9:AY21" si="48">AW$22-AX9</f>
        <v>2.279010859343944E-2</v>
      </c>
      <c r="AZ9" s="53">
        <f t="shared" ref="AZ9:AZ21" si="49">IF(AY9&gt;0,$G9*$I9*(($H$22+$L$22+$Q$22+$W$22+$AC$22+$AI$22+$AO$22+$AU$22)/$G$22)*AY9,0)</f>
        <v>256865.5665816869</v>
      </c>
      <c r="BA9" s="79">
        <f t="shared" ref="BA9:BA21" si="50">IF((AV$22-AZ$22)&gt;0,AZ9,AV$22*AZ9/AZ$22)</f>
        <v>0</v>
      </c>
      <c r="BB9" s="75" t="s">
        <v>8</v>
      </c>
      <c r="BC9" s="48" t="s">
        <v>8</v>
      </c>
      <c r="BD9" s="52">
        <f t="shared" ref="BD9:BD21" si="51">(((H9+L9+Q9+W9+AC9+AI9+AO9+AU9+BA9)/G9)/$J$22)/I9</f>
        <v>0.84187881533735287</v>
      </c>
      <c r="BE9" s="51">
        <f t="shared" ref="BE9:BE21" si="52">BC$22-BD9</f>
        <v>2.279010859343944E-2</v>
      </c>
      <c r="BF9" s="53">
        <f t="shared" ref="BF9:BF21" si="53">IF(BE9&gt;0,$G9*$I9*(($H$22+$L$22+$Q$22+$W$22+$AC$22+$AI$22+$AO$22+$AU$22+$BA$22)/$G$22)*BE9,0)</f>
        <v>256865.5665816869</v>
      </c>
      <c r="BG9" s="79">
        <f t="shared" ref="BG9:BG21" si="54">IF((BB$22-BF$22)&gt;0,BF9,BB$22*BF9/BF$22)</f>
        <v>0</v>
      </c>
      <c r="BH9" s="75" t="s">
        <v>8</v>
      </c>
      <c r="BI9" s="48" t="s">
        <v>8</v>
      </c>
      <c r="BJ9" s="52">
        <f t="shared" ref="BJ9:BJ21" si="55">(((H9+L9+Q9+W9+AC9+AI9+AO9+AU9+BA9+BG9)/G9)/$J$22)/I9</f>
        <v>0.84187881533735287</v>
      </c>
      <c r="BK9" s="51">
        <f t="shared" ref="BK9:BK21" si="56">BI$22-BJ9</f>
        <v>2.279010859343944E-2</v>
      </c>
      <c r="BL9" s="53">
        <f t="shared" ref="BL9:BL21" si="57">IF(BK9&gt;0,$G9*$I9*(($H$22+$L$22+$Q$22+$W$22+$AC$22+$AI$22+$AO$22+$AU$22+$BA$22+$BG$22)/$G$22)*BK9,0)</f>
        <v>256865.5665816869</v>
      </c>
      <c r="BM9" s="79">
        <f t="shared" ref="BM9:BM21" si="58">IF((BH$22-BL$22)&gt;0,BL9,BH$22*BL9/BL$22)</f>
        <v>0</v>
      </c>
      <c r="BN9" s="75" t="s">
        <v>8</v>
      </c>
      <c r="BO9" s="48" t="s">
        <v>8</v>
      </c>
      <c r="BP9" s="52">
        <f t="shared" ref="BP9:BP21" si="59">(((H9+L9+Q9+W9+AC9+AI9+AO9+AU9+BA9+BG9+BM9)/G9)/$J$22)/I9</f>
        <v>0.84187881533735287</v>
      </c>
      <c r="BQ9" s="51">
        <f t="shared" ref="BQ9:BQ21" si="60">BO$22-BP9</f>
        <v>2.279010859343944E-2</v>
      </c>
      <c r="BR9" s="53">
        <f t="shared" ref="BR9:BR21" si="61">IF(BQ9&gt;0,$G9*$I9*(($H$22+$L$22+$Q$22+$W$22+$AC$22+$AI$22+$AO$22+$AU$22+$BA$22+$BG$22+$BM$22)/$G$22)*BQ9,0)</f>
        <v>256865.5665816869</v>
      </c>
      <c r="BS9" s="131">
        <f t="shared" ref="BS9:BS21" si="62">IF((BN$22-BR$22)&gt;0,BR9,BN$22*BR9/BR$22)</f>
        <v>0</v>
      </c>
      <c r="BT9" s="75" t="s">
        <v>8</v>
      </c>
      <c r="BU9" s="48" t="s">
        <v>8</v>
      </c>
      <c r="BV9" s="52">
        <f t="shared" ref="BV9:BV21" si="63">(((H9+L9+Q9+W9+AC9+AI9+AO9+AU9+BA9+BG9+BM9+BS9)/G9)/$J$22)/I9</f>
        <v>0.84187881533735287</v>
      </c>
      <c r="BW9" s="51">
        <f t="shared" ref="BW9:BW21" si="64">BU$22-BV9</f>
        <v>2.279010859343944E-2</v>
      </c>
      <c r="BX9" s="53">
        <f t="shared" ref="BX9:BX21" si="65">IF(BW9&gt;0,$G9*$I9*(($H$22+$L$22+$Q$22+$W$22+$AC$22+$AI$22+$AO$22+$AU$22+$BA$22+$BG$22+$BM$22+$BS$22)/$G$22)*BW9,0)</f>
        <v>256865.5665816869</v>
      </c>
      <c r="BY9" s="131">
        <f t="shared" ref="BY9:BY21" si="66">IF((BT$22-BX$22)&gt;0,BX9,BT$22*BX9/BX$22)</f>
        <v>0</v>
      </c>
      <c r="BZ9" s="75" t="s">
        <v>8</v>
      </c>
      <c r="CA9" s="48" t="s">
        <v>8</v>
      </c>
      <c r="CB9" s="52">
        <f t="shared" ref="CB9:CB21" si="67">(((H9+L9+Q9+W9+AC9+AI9+AO9+AU9+BA9+BG9+BM9+BS9+BY9)/G9)/$J$22)/I9</f>
        <v>0.84187881533735287</v>
      </c>
      <c r="CC9" s="51">
        <f t="shared" ref="CC9:CC21" si="68">CA$22-CB9</f>
        <v>2.279010859343944E-2</v>
      </c>
      <c r="CD9" s="53">
        <f t="shared" ref="CD9:CD21" si="69">IF(CC9&gt;0,$G9*$I9*(($H$22+$L$22+$Q$22+$W$22+$AC$22+$AI$22+$AO$22+$AU$22+$BA$22+$BG$22+$BM$22+$BS$22+$BY$22)/$G$22)*CC9,0)</f>
        <v>256865.5665816869</v>
      </c>
      <c r="CE9" s="131">
        <f t="shared" ref="CE9:CE21" si="70">IF((BZ$22-CD$22)&gt;0,CD9,BZ$22*CD9/CD$22)</f>
        <v>0</v>
      </c>
      <c r="CF9" s="75" t="s">
        <v>8</v>
      </c>
      <c r="CG9" s="48" t="s">
        <v>8</v>
      </c>
      <c r="CH9" s="52">
        <f t="shared" ref="CH9:CH21" si="71">(((H9+L9+Q9+W9+AC9+AI9+AO9+AU9+BA9+BG9+BM9+BS9+BY9+CE9)/G9)/$J$22)/I9</f>
        <v>0.84187881533735287</v>
      </c>
      <c r="CI9" s="51">
        <f t="shared" ref="CI9:CI21" si="72">CG$22-CH9</f>
        <v>2.279010859343944E-2</v>
      </c>
      <c r="CJ9" s="53">
        <f t="shared" ref="CJ9:CJ21" si="73">IF(CI9&gt;0,$G9*$I9*(($H$22+$L$22+$Q$22+$W$22+$AC$22+$AI$22+$AO$22+$AU$22+$BA$22+$BG$22+$BM$22+$BS$22+$BY$22+$CE$22)/$G$22)*CI9,0)</f>
        <v>256865.5665816869</v>
      </c>
      <c r="CK9" s="131">
        <f t="shared" ref="CK9:CK21" si="74">IF((CF$22-CJ$22)&gt;0,CJ9,CF$22*CJ9/CJ$22)</f>
        <v>0</v>
      </c>
      <c r="CL9" s="75" t="s">
        <v>8</v>
      </c>
      <c r="CM9" s="48" t="s">
        <v>8</v>
      </c>
      <c r="CN9" s="52">
        <f t="shared" ref="CN9:CN21" si="75">(((H9+L9+Q9+W9+AC9+AI9+AO9+AU9+BA9+BG9+BM9+BS9+BY9+CE9+CK9)/G9)/$J$22)/I9</f>
        <v>0.84187881533735287</v>
      </c>
      <c r="CO9" s="51">
        <f t="shared" ref="CO9:CO21" si="76">CM$22-CN9</f>
        <v>2.279010859343944E-2</v>
      </c>
      <c r="CP9" s="53">
        <f t="shared" ref="CP9:CP21" si="77">IF(CO9&gt;0,$G9*$I9*(($H$22+$L$22+$Q$22+$W$22+$AC$22+$AI$22+$AO$22+$AU$22+$BA$22+$BG$22+$BM$22+$BS$22+$BY$22+$CE$22+$CK$22)/$G$22)*CO9,0)</f>
        <v>256865.5665816869</v>
      </c>
      <c r="CQ9" s="131">
        <f t="shared" ref="CQ9:CQ21" si="78">IF((CL$22-CP$22)&gt;0,CP9,CL$22*CP9/CP$22)</f>
        <v>0</v>
      </c>
      <c r="CR9" s="75" t="s">
        <v>8</v>
      </c>
      <c r="CS9" s="48" t="s">
        <v>8</v>
      </c>
      <c r="CT9" s="52">
        <f t="shared" ref="CT9:CT21" si="79">(((H9+L9+Q9+W9+AC9+AI9+AO9+AU9+BA9+BG9+BM9+BS9+BY9+CE9+CK9+CQ9)/G9)/$J$22)/I9</f>
        <v>0.84187881533735287</v>
      </c>
      <c r="CU9" s="51">
        <f t="shared" ref="CU9:CU21" si="80">CS$22-CT9</f>
        <v>2.279010859343944E-2</v>
      </c>
      <c r="CV9" s="53">
        <f t="shared" ref="CV9:CV21" si="81">IF(CU9&gt;0,$G9*$I9*(($H$22+$L$22+$Q$22+$W$22+$AC$22+$AI$22+$AO$22+$AU$22+$BA$22+$BG$22+$BM$22+$BS$22+$BY$22+$CE$22+$CK$22+$CQ$22)/$G$22)*CU9,0)</f>
        <v>256865.5665816869</v>
      </c>
      <c r="CW9" s="131">
        <f t="shared" ref="CW9:CW21" si="82">IF((CR$22-CV$22)&gt;0,CV9,CR$22*CV9/CV$22)</f>
        <v>0</v>
      </c>
      <c r="CX9" s="75" t="s">
        <v>8</v>
      </c>
      <c r="CY9" s="48" t="s">
        <v>8</v>
      </c>
      <c r="CZ9" s="52">
        <f t="shared" ref="CZ9:CZ21" si="83">(((H9+L9+Q9+W9+AC9+AI9+AO9+AU9+BA9+BG9+BM9+BS9+BY9+CE9+CK9+CQ9+CW9)/G9)/$J$22)/I9</f>
        <v>0.84187881533735287</v>
      </c>
      <c r="DA9" s="51">
        <f t="shared" ref="DA9:DA21" si="84">CY$22-CZ9</f>
        <v>2.279010859343944E-2</v>
      </c>
      <c r="DB9" s="53">
        <f t="shared" ref="DB9:DB21" si="85">IF(DA9&gt;0,$G9*$I9*(($H$22+$L$22+$Q$22+$W$22+$AC$22+$AI$22+$AO$22+$AU$22+$BA$22+$BG$22+$BM$22+$BS$22+$BY$22+$CE$22+$CK$22+$CQ$22+$CW$22)/$G$22)*DA9,0)</f>
        <v>256865.5665816869</v>
      </c>
      <c r="DC9" s="131">
        <f t="shared" ref="DC9:DC21" si="86">IF((CX$22-DB$22)&gt;0,DB9,CX$22*DB9/DB$22)</f>
        <v>0</v>
      </c>
      <c r="DD9" s="75" t="s">
        <v>8</v>
      </c>
      <c r="DE9" s="48" t="s">
        <v>8</v>
      </c>
      <c r="DF9" s="52">
        <f t="shared" ref="DF9:DF21" si="87">(((H9+L9+Q9+W9+AC9+AI9+AO9+AU9+BA9+BG9+BM9+BS9+BY9+CE9+CK9+CQ9+CW9+DC9)/G9)/$J$22)/I9</f>
        <v>0.84187881533735287</v>
      </c>
      <c r="DG9" s="51">
        <f t="shared" ref="DG9:DG21" si="88">DE$22-DF9</f>
        <v>2.279010859343944E-2</v>
      </c>
      <c r="DH9" s="53">
        <f t="shared" ref="DH9:DH21" si="89">IF(DG9&gt;0,$G9*$I9*(($H$22+$L$22+$Q$22+$W$22+$AC$22+$AI$22+$AO$22+$AU$22+$BA$22+$BG$22+$BM$22+$BS$22+$BY$22+$CE$22+$CK$22+$CQ$22+$CW$22+$DC$22)/$G$22)*DG9,0)</f>
        <v>256865.5665816869</v>
      </c>
      <c r="DI9" s="131">
        <f t="shared" ref="DI9:DI21" si="90">IF((DD$22-DH$22)&gt;0,DH9,DD$22*DH9/DH$22)</f>
        <v>0</v>
      </c>
      <c r="DJ9" s="75" t="s">
        <v>8</v>
      </c>
      <c r="DK9" s="48" t="s">
        <v>8</v>
      </c>
      <c r="DL9" s="52">
        <f t="shared" ref="DL9:DL21" si="91">(((H9+L9+Q9+W9+AC9+AI9+AO9+AU9+BA9+BG9+BM9+BS9+BY9+CE9+CK9+CQ9+CW9+DC9+DI9)/G9)/$J$22)/I9</f>
        <v>0.84187881533735287</v>
      </c>
      <c r="DM9" s="51">
        <f t="shared" ref="DM9:DM21" si="92">DK$22-DL9</f>
        <v>2.279010859343944E-2</v>
      </c>
      <c r="DN9" s="53">
        <f t="shared" ref="DN9:DN21" si="93">IF(DM9&gt;0,$G9*$I9*(($H$22+$L$22+$Q$22+$W$22+$AC$22+$AI$22+$AO$22+$AU$22+$BA$22+$BG$22+$BM$22+$BS$22+$BY$22+$CE$22+$CK$22+$CQ$22+$CW$22+$DC$22+$DI$22)/$G$22)*DM9,0)</f>
        <v>256865.5665816869</v>
      </c>
      <c r="DO9" s="131">
        <f t="shared" ref="DO9:DO21" si="94">IF((DJ$22-DN$22)&gt;0,DN9,DJ$22*DN9/DN$22)</f>
        <v>0</v>
      </c>
      <c r="DP9" s="75" t="s">
        <v>8</v>
      </c>
      <c r="DQ9" s="48" t="s">
        <v>8</v>
      </c>
      <c r="DR9" s="52">
        <f t="shared" ref="DR9:DR21" si="95">(((H9+L9+Q9+W9+AC9+AI9+AO9+AU9+BA9+BG9+BM9+BS9+BY9+CE9+CK9+CQ9+CW9+DC9+DI9+DO9)/G9)/$J$22)/I9</f>
        <v>0.84187881533735287</v>
      </c>
      <c r="DS9" s="51">
        <f t="shared" ref="DS9:DS21" si="96">DQ$22-DR9</f>
        <v>2.279010859343944E-2</v>
      </c>
      <c r="DT9" s="53">
        <f>IF(DS9&gt;0,$G9*$I9*(($H$22+$L$22+$Q$22+$W$22+$AC$22+$AI$22+$AO$22+$AU$22+$BA$22+$BG$22+$BM$22+$BS$22+$BY$22+$CE$22+$CK$22+$CQ$22+$CW$22+$DC$22+$DI$22+$DO$22)/$G$22)*DS9,0)</f>
        <v>256865.5665816869</v>
      </c>
      <c r="DU9" s="131">
        <f t="shared" ref="DU9:DU21" si="97">IF((DP$22-DT$22)&gt;0,DT9,DP$22*DT9/DT$22)</f>
        <v>0</v>
      </c>
      <c r="DV9" s="174" t="s">
        <v>8</v>
      </c>
      <c r="DW9" s="163" t="s">
        <v>8</v>
      </c>
      <c r="DX9" s="199">
        <f t="shared" ref="DX9:DX21" si="98">((($H9+$L9+$Q9+$W9+$AC9+$AI9+$AO9+$AU9+$BA9+$BG9+$BM9+$BS9+$BY9+$CE9+$CK9+$CQ9+$CW9+$DC9+$DI9+$DO9+$DU9)/$G9)/$J$22)/$I9</f>
        <v>0.84187881533735287</v>
      </c>
      <c r="DY9" s="164">
        <f t="shared" ref="DY9:DY21" si="99">DW$22-DX9</f>
        <v>2.279010859343944E-2</v>
      </c>
      <c r="DZ9" s="34">
        <f t="shared" ref="DZ9:DZ21" si="100">IF(DY9&gt;0,$G9*$I9*(($H$22+$L$22+$Q$22+$W$22+$AC$22+$AI$22+$AO$22+$AU$22+$BA$22+$BG$22+$BM$22+$BS$22+$BY$22+$CE$22+$CK$22+$CQ$22+$CW$22+$DC$22+$DI$22+$DO$22+$DU$22)/$G$22)*DY9,0)</f>
        <v>256865.5665816869</v>
      </c>
      <c r="EA9" s="165">
        <f t="shared" ref="EA9:EA21" si="101">IF((DV$22-DZ$22)&gt;0,DZ9,DV$22*DZ9/DZ$22)</f>
        <v>0</v>
      </c>
      <c r="EB9" s="174" t="s">
        <v>8</v>
      </c>
      <c r="EC9" s="163" t="s">
        <v>8</v>
      </c>
      <c r="ED9" s="199">
        <f t="shared" ref="ED9:ED21" si="102">((($H9+$L9+$Q9+$W9+$AC9+$AI9+$AO9+$AU9+$BA9+$BG9+$BM9+$BS9+$BY9+$CE9+$CK9+$CQ9+$CW9+$DC9+$DI9+$DO9+$DU9+$EA9)/$G9)/$J$22)/$I9</f>
        <v>0.84187881533735287</v>
      </c>
      <c r="EE9" s="164">
        <f t="shared" ref="EE9:EE21" si="103">EC$22-ED9</f>
        <v>2.279010859343944E-2</v>
      </c>
      <c r="EF9" s="34">
        <f t="shared" ref="EF9:EF21" si="104">IF(EE9&gt;0,$G9*$I9*(($H$22+$L$22+$Q$22+$W$22+$AC$22+$AI$22+$AO$22+$AU$22+$BA$22+$BG$22+$BM$22+$BS$22+$BY$22+$CE$22+$CK$22+$CQ$22+$CW$22+$DC$22+$DI$22+$DO$22+$DU$22+$EA$22)/$G$22)*EE9,0)</f>
        <v>256865.5665816869</v>
      </c>
      <c r="EG9" s="165">
        <f t="shared" ref="EG9:EG21" si="105">IF((EB$22-EF$22)&gt;0,EF9,EB$22*EF9/EF$22)</f>
        <v>0</v>
      </c>
      <c r="EH9" s="174" t="s">
        <v>8</v>
      </c>
      <c r="EI9" s="163" t="s">
        <v>8</v>
      </c>
      <c r="EJ9" s="199">
        <f t="shared" ref="EJ9:EJ21" si="106">((($H9+$L9+$Q9+$W9+$AC9+$AI9+$AO9+$AU9+$BA9+$BG9+$BM9+$BS9+$BY9+$CE9+$CK9+$CQ9+$CW9+$DC9+$DI9+$DO9+$DU9+$EA9+$EG9)/$G9)/$J$22)/$I9</f>
        <v>0.84187881533735287</v>
      </c>
      <c r="EK9" s="164">
        <f t="shared" ref="EK9:EK21" si="107">EI$22-EJ9</f>
        <v>2.279010859343944E-2</v>
      </c>
      <c r="EL9" s="34">
        <f t="shared" ref="EL9:EL21" si="108">IF(EK9&gt;0,$G9*$I9*(($H$22+$L$22+$Q$22+$W$22+$AC$22+$AI$22+$AO$22+$AU$22+$BA$22+$BG$22+$BM$22+$BS$22+$BY$22+$CE$22+$CK$22+$CQ$22+$CW$22+$DC$22+$DI$22+$DO$22+$DU$22+$EA$22+$EG$22)/$G$22)*EK9,0)</f>
        <v>256865.5665816869</v>
      </c>
      <c r="EM9" s="165">
        <f t="shared" ref="EM9:EM21" si="109">IF((EH$22-EL$22)&gt;0,EL9,EH$22*EL9/EL$22)</f>
        <v>0</v>
      </c>
      <c r="EN9" s="75" t="s">
        <v>8</v>
      </c>
      <c r="EO9" s="48" t="s">
        <v>8</v>
      </c>
      <c r="EP9" s="199">
        <f t="shared" ref="EP9:EP21" si="110">((($H9+$L9+$Q9+$W9+$AC9+$AI9+$AO9+$AU9+$BA9+$BG9+$BM9+$BS9+$BY9+$CE9+$CK9+$CQ9+$CW9+$DC9+$DI9+$DO9+$DU9+$EA9+$EG9+$EM9)/$G9)/$J$22)/$I9</f>
        <v>0.84187881533735287</v>
      </c>
      <c r="EQ9" s="51">
        <f t="shared" ref="EQ9:EQ21" si="111">EO$22-EP9</f>
        <v>2.279010859343944E-2</v>
      </c>
      <c r="ER9" s="53">
        <f t="shared" ref="ER9:ER21" si="112">IF(EQ9&gt;0,$G9*$I9*(($H$22+$L$22+$Q$22+$W$22+$AC$22+$AI$22+$AO$22+$AU$22+$BA$22+$BG$22+$BM$22+$BS$22+$BY$22+$CE$22+$CK$22+$CQ$22+$CW$22+$DC$22+$DI$22+$DO$22+$DU$22+$EA$22+$EG$22+$EM$22)/$G$22)*EQ9,0)</f>
        <v>256865.5665816869</v>
      </c>
      <c r="ES9" s="79">
        <f t="shared" ref="ES9:ES21" si="113">IF((EN$22-ER$22)&gt;0,ER9,EN$22*ER9/ER$22)</f>
        <v>0</v>
      </c>
      <c r="ET9" s="174" t="s">
        <v>8</v>
      </c>
      <c r="EU9" s="163" t="s">
        <v>8</v>
      </c>
      <c r="EV9" s="199">
        <f t="shared" ref="EV9:EV21" si="114">((($H9+$L9+$Q9+$W9+$AC9+$AI9+$AO9+$AU9+$BA9+$BG9+$BM9+$BS9+$BY9+$CE9+$CK9+$CQ9+$CW9+$DC9+$DI9+$DO9+$DU9+$EA9+$EG9+$EM9+$ES9)/$G9)/$J$22)/$I9</f>
        <v>0.84187881533735287</v>
      </c>
      <c r="EW9" s="164">
        <f t="shared" ref="EW9:EW21" si="115">EU$22-EV9</f>
        <v>2.279010859343944E-2</v>
      </c>
      <c r="EX9" s="34">
        <f t="shared" ref="EX9:EX21" si="116">IF(EW9&gt;0,$G9*$I9*(($H$22+$L$22+$Q$22+$W$22+$AC$22+$AI$22+$AO$22+$AU$22+$BA$22+$BG$22+$BM$22+$BS$22+$BY$22+$CE$22+$CK$22+$CQ$22+$CW$22+$DC$22+$DI$22+$DO$22+$DU$22+$EA$22+$EG$22+$EM$22+$ES$22)/$G$22)*EW9,0)</f>
        <v>256865.5665816869</v>
      </c>
      <c r="EY9" s="165">
        <f t="shared" ref="EY9:EY21" si="117">IF((ET$22-EX$22)&gt;0,EX9,ET$22*EX9/EX$22)</f>
        <v>0</v>
      </c>
      <c r="EZ9" s="174" t="s">
        <v>8</v>
      </c>
      <c r="FA9" s="163" t="s">
        <v>8</v>
      </c>
      <c r="FB9" s="199">
        <f t="shared" ref="FB9:FB21" si="118">((($H9+$L9+$Q9+$W9+$AC9+$AI9+$AO9+$AU9+$BA9+$BG9+$BM9+$BS9+$BY9+$CE9+$CK9+$CQ9+$CW9+$DC9+$DI9+$DO9+$DU9+$EA9+$EG9+$EM9+$ES9+$EY9)/$G9)/$J$22)/$I9</f>
        <v>0.84187881533735287</v>
      </c>
      <c r="FC9" s="164">
        <f t="shared" ref="FC9:FC21" si="119">FA$22-FB9</f>
        <v>2.279010859343944E-2</v>
      </c>
      <c r="FD9" s="34">
        <f t="shared" ref="FD9:FD21" si="120">IF(FC9&gt;0,$G9*$I9*(($H$22+$L$22+$Q$22+$W$22+$AC$22+$AI$22+$AO$22+$AU$22+$BA$22+$BG$22+$BM$22+$BS$22+$BY$22+$CE$22+$CK$22+$CQ$22+$CW$22+$DC$22+$DI$22+$DO$22+$DU$22+$EA$22+$EG$22+$EM$22+$ES$22+$EY$22)/$G$22)*FC9,0)</f>
        <v>256865.5665816869</v>
      </c>
      <c r="FE9" s="165">
        <f t="shared" ref="FE9:FE21" si="121">IF((EZ$22-FD$22)&gt;0,FD9,EZ$22*FD9/FD$22)</f>
        <v>0</v>
      </c>
      <c r="FF9" s="174" t="s">
        <v>8</v>
      </c>
      <c r="FG9" s="163" t="s">
        <v>8</v>
      </c>
      <c r="FH9" s="199">
        <f t="shared" ref="FH9:FH21" si="122">((($H9+$L9+$Q9+$W9+$AC9+$AI9+$AO9+$AU9+$BA9+$BG9+$BM9+$BS9+$BY9+$CE9+$CK9+$CQ9+$CW9+$DC9+$DI9+$DO9+$DU9+$EA9+$EG9+$EM9+$ES9+$EY9+$FE9)/$G9)/$J$22)/$I9</f>
        <v>0.84187881533735287</v>
      </c>
      <c r="FI9" s="164">
        <f t="shared" ref="FI9:FI21" si="123">FG$22-FH9</f>
        <v>2.279010859343944E-2</v>
      </c>
      <c r="FJ9" s="34">
        <f t="shared" ref="FJ9:FJ21" si="124">IF(FI9&gt;0,$G9*$I9*(($H$22+$L$22+$Q$22+$W$22+$AC$22+$AI$22+$AO$22+$AU$22+$BA$22+$BG$22+$BM$22+$BS$22+$BY$22+$CE$22+$CK$22+$CQ$22+$CW$22+$DC$22+$DI$22+$DO$22+$DU$22+$EA$22+$EG$22+$EM$22+$ES$22+$EY$22+$FE$22)/$G$22)*FI9,0)</f>
        <v>256865.5665816869</v>
      </c>
      <c r="FK9" s="165">
        <f t="shared" ref="FK9:FK21" si="125">IF((FF$22-FJ$22)&gt;0,FJ9,FF$22*FJ9/FJ$22)</f>
        <v>0</v>
      </c>
      <c r="FL9" s="174" t="s">
        <v>8</v>
      </c>
      <c r="FM9" s="163" t="s">
        <v>8</v>
      </c>
      <c r="FN9" s="199">
        <f t="shared" ref="FN9:FN21" si="126">((($H9+$L9+$Q9+$W9+$AC9+$AI9+$AO9+$AU9+$BA9+$BG9+$BM9+$BS9+$BY9+$CE9+$CK9+$CQ9+$CW9+$DC9+$DI9+$DO9+$DU9+$EA9+$EG9+$EM9+$ES9+$EY9+$FE9+$FK9)/$G9)/$J$22)/$I9</f>
        <v>0.84187881533735287</v>
      </c>
      <c r="FO9" s="164">
        <f t="shared" ref="FO9:FO21" si="127">FM$22-FN9</f>
        <v>2.279010859343944E-2</v>
      </c>
      <c r="FP9" s="34">
        <f t="shared" ref="FP9:FP21" si="128">IF(FO9&gt;0,$G9*$I9*(($H$22+$L$22+$Q$22+$W$22+$AC$22+$AI$22+$AO$22+$AU$22+$BA$22+$BG$22+$BM$22+$BS$22+$BY$22+$CE$22+$CK$22+$CQ$22+$CW$22+$DC$22+$DI$22+$DO$22+$DU$22+$EA$22+$EG$22+$EM$22+$ES$22+$EY$22+$FE$22+$FK$22)/$G$22)*FO9,0)</f>
        <v>256865.5665816869</v>
      </c>
      <c r="FQ9" s="165">
        <f t="shared" ref="FQ9:FQ21" si="129">IF((FL$22-FP$22)&gt;0,FP9,FL$22*FP9/FP$22)</f>
        <v>0</v>
      </c>
      <c r="FR9" s="174" t="s">
        <v>8</v>
      </c>
      <c r="FS9" s="163" t="s">
        <v>8</v>
      </c>
      <c r="FT9" s="199">
        <f t="shared" ref="FT9:FT21" si="130">((($H9+$L9+$Q9+$W9+$AC9+$AI9+$AO9+$AU9+$BA9+$BG9+$BM9+$BS9+$BY9+$CE9+$CK9+$CQ9+$CW9+$DC9+$DI9+$DO9+$DU9+$EA9+$EG9+$EM9+$ES9+$EY9+$FE9+$FK9+$FQ9)/$G9)/$J$22)/$I9</f>
        <v>0.84187881533735287</v>
      </c>
      <c r="FU9" s="164">
        <f t="shared" ref="FU9:FU21" si="131">FS$22-FT9</f>
        <v>2.279010859343944E-2</v>
      </c>
      <c r="FV9" s="34">
        <f t="shared" ref="FV9:FV21" si="132">IF(FU9&gt;0,$G9*$I9*(($H$22+$L$22+$Q$22+$W$22+$AC$22+$AI$22+$AO$22+$AU$22+$BA$22+$BG$22+$BM$22+$BS$22+$BY$22+$CE$22+$CK$22+$CQ$22+$CW$22+$DC$22+$DI$22+$DO$22+$DU$22+$EA$22+$EG$22+$EM$22+$ES$22+$EY$22+$FE$22+$FK$22+$FQ$22)/$G$22)*FU9,0)</f>
        <v>256865.5665816869</v>
      </c>
      <c r="FW9" s="165">
        <f t="shared" ref="FW9:FW21" si="133">IF((FR$22-FV$22)&gt;0,FV9,FR$22*FV9/FV$22)</f>
        <v>0</v>
      </c>
      <c r="FX9" s="174" t="s">
        <v>8</v>
      </c>
      <c r="FY9" s="163" t="s">
        <v>8</v>
      </c>
      <c r="FZ9" s="199">
        <f t="shared" ref="FZ9:FZ21" si="134">((($H9+$L9+$Q9+$W9+$AC9+$AI9+$AO9+$AU9+$BA9+$BG9+$BM9+$BS9+$BY9+$CE9+$CK9+$CQ9+$CW9+$DC9+$DI9+$DO9+$DU9+$EA9+$EG9+$EM9+$ES9+$EY9+$FE9+$FK9+$FQ9+$FW9)/$G9)/$J$22)/$I9</f>
        <v>0.84187881533735287</v>
      </c>
      <c r="GA9" s="164">
        <f t="shared" ref="GA9:GA21" si="135">FY$22-FZ9</f>
        <v>2.279010859343944E-2</v>
      </c>
      <c r="GB9" s="34">
        <f t="shared" ref="GB9:GB21" si="136">IF(GA9&gt;0,$G9*$I9*(($H$22+$L$22+$Q$22+$W$22+$AC$22+$AI$22+$AO$22+$AU$22+$BA$22+$BG$22+$BM$22+$BS$22+$BY$22+$CE$22+$CK$22+$CQ$22+$CW$22+$DC$22+$DI$22+$DO$22+$DU$22+$EA$22+$EG$22+$EM$22+$ES$22+$EY$22+$FE$22+$FK$22+$FQ$22+$FW$22)/$G$22)*GA9,0)</f>
        <v>256865.5665816869</v>
      </c>
      <c r="GC9" s="165">
        <f t="shared" ref="GC9:GC21" si="137">IF((FX$22-GB$22)&gt;0,GB9,FX$22*GB9/GB$22)</f>
        <v>0</v>
      </c>
      <c r="GD9" s="174" t="s">
        <v>8</v>
      </c>
      <c r="GE9" s="163" t="s">
        <v>8</v>
      </c>
      <c r="GF9" s="199">
        <f t="shared" ref="GF9:GF21" si="138">((($H9+$L9+$Q9+$W9+$AC9+$AI9+$AO9+$AU9+$BA9+$BG9+$BM9+$BS9+$BY9+$CE9+$CK9+$CQ9+$CW9+$DC9+$DI9+$DO9+$DU9+$EA9+$EG9+$EM9+$ES9+$EY9+$FE9+$FK9+$FQ9+$FW9+$GC9)/$G9)/$J$22)/$I9</f>
        <v>0.84187881533735287</v>
      </c>
      <c r="GG9" s="164">
        <f t="shared" ref="GG9:GG21" si="139">GE$22-GF9</f>
        <v>2.279010859343944E-2</v>
      </c>
      <c r="GH9" s="34">
        <f t="shared" ref="GH9:GH21" si="140">IF(GG9&gt;0,$G9*$I9*(($H$22+$L$22+$Q$22+$W$22+$AC$22+$AI$22+$AO$22+$AU$22+$BA$22+$BG$22+$BM$22+$BS$22+$BY$22+$CE$22+$CK$22+$CQ$22+$CW$22+$DC$22+$DI$22+$DO$22+$DU$22+$EA$22+$EG$22+$EM$22+$ES$22+$EY$22+$FE$22+$FK$22+$FQ$22+$FW$22+$GC$22)/$G$22)*GG9,0)</f>
        <v>256865.5665816869</v>
      </c>
      <c r="GI9" s="180">
        <f t="shared" ref="GI9:GI21" si="141">IF((GD$22-GH$22)&gt;0,GH9,GD$22*GH9/GH$22)</f>
        <v>0</v>
      </c>
      <c r="GJ9" s="178">
        <f>Q9+W9+AC9+AI9+AO9+AU9+BA9+BG9+BM9+BS9+BY9+CE9+CK9+CQ9+CW9+DC9+DI9+DO9+DU9+EA9+EG9+EM9+ES9+EY9+FE9+FK9+FQ9+FW9+GC9+GI9</f>
        <v>1319092.8350395171</v>
      </c>
      <c r="GK9" s="166">
        <f>L9+GJ9</f>
        <v>2157320.125160736</v>
      </c>
      <c r="GL9" s="167">
        <f t="shared" ref="GL9:GL21" si="142">K9+GK9/($H$22/$G$22)/G9/I9</f>
        <v>0.84187881533735298</v>
      </c>
      <c r="GN9" s="214">
        <v>2157320.12</v>
      </c>
    </row>
    <row r="10" spans="1:196" s="25" customFormat="1" ht="30.75" thickBot="1" x14ac:dyDescent="0.3">
      <c r="A10" s="184" t="s">
        <v>174</v>
      </c>
      <c r="B10" s="155" t="s">
        <v>8</v>
      </c>
      <c r="C10" s="155" t="s">
        <v>8</v>
      </c>
      <c r="D10" s="155" t="s">
        <v>8</v>
      </c>
      <c r="E10" s="155" t="s">
        <v>8</v>
      </c>
      <c r="F10" s="155" t="s">
        <v>8</v>
      </c>
      <c r="G10" s="113">
        <f>'Исходные данные 25 г.'!C12</f>
        <v>188</v>
      </c>
      <c r="H10" s="49">
        <f>'Исходные данные 2026 г. '!D12</f>
        <v>63780</v>
      </c>
      <c r="I10" s="32">
        <f>'Расчет КРП'!H8</f>
        <v>6.6057870073762368</v>
      </c>
      <c r="J10" s="120" t="s">
        <v>8</v>
      </c>
      <c r="K10" s="124">
        <f t="shared" si="22"/>
        <v>8.2010955875341032E-2</v>
      </c>
      <c r="L10" s="77">
        <f t="shared" si="23"/>
        <v>182815.23264824727</v>
      </c>
      <c r="M10" s="73">
        <f t="shared" si="24"/>
        <v>0.31708232586680568</v>
      </c>
      <c r="N10" s="30" t="s">
        <v>8</v>
      </c>
      <c r="O10" s="33">
        <f t="shared" si="25"/>
        <v>0.11762163490191885</v>
      </c>
      <c r="P10" s="34">
        <f t="shared" ref="P10:P21" si="143">IF(O10&gt;0,G10*I10*(($H$22+$L$22)/$G$22)*O10,0)</f>
        <v>233518.87304666129</v>
      </c>
      <c r="Q10" s="80">
        <f t="shared" si="26"/>
        <v>233518.87304666129</v>
      </c>
      <c r="R10" s="160" t="s">
        <v>8</v>
      </c>
      <c r="S10" s="30" t="s">
        <v>8</v>
      </c>
      <c r="T10" s="35">
        <f t="shared" si="27"/>
        <v>0.61735052896321674</v>
      </c>
      <c r="U10" s="33">
        <f t="shared" si="28"/>
        <v>4.0410658245932929E-3</v>
      </c>
      <c r="V10" s="53">
        <f t="shared" si="29"/>
        <v>9756.9877363328415</v>
      </c>
      <c r="W10" s="80">
        <f t="shared" si="30"/>
        <v>9756.9877363328415</v>
      </c>
      <c r="X10" s="76" t="s">
        <v>8</v>
      </c>
      <c r="Y10" s="30" t="s">
        <v>8</v>
      </c>
      <c r="Z10" s="35">
        <f t="shared" si="31"/>
        <v>0.62989646641571972</v>
      </c>
      <c r="AA10" s="33">
        <f t="shared" si="32"/>
        <v>0.13188385783378032</v>
      </c>
      <c r="AB10" s="53">
        <f t="shared" si="33"/>
        <v>375925.83568989672</v>
      </c>
      <c r="AC10" s="80">
        <f t="shared" si="34"/>
        <v>254457.63719991699</v>
      </c>
      <c r="AD10" s="76" t="s">
        <v>8</v>
      </c>
      <c r="AE10" s="30" t="s">
        <v>8</v>
      </c>
      <c r="AF10" s="35">
        <f t="shared" si="35"/>
        <v>0.95708859649640221</v>
      </c>
      <c r="AG10" s="33">
        <f t="shared" si="36"/>
        <v>-9.2419672565609901E-2</v>
      </c>
      <c r="AH10" s="53">
        <f t="shared" si="37"/>
        <v>0</v>
      </c>
      <c r="AI10" s="80">
        <f t="shared" si="38"/>
        <v>0</v>
      </c>
      <c r="AJ10" s="76" t="s">
        <v>8</v>
      </c>
      <c r="AK10" s="30" t="s">
        <v>8</v>
      </c>
      <c r="AL10" s="35">
        <f t="shared" si="39"/>
        <v>0.95708859649640221</v>
      </c>
      <c r="AM10" s="33">
        <f t="shared" si="40"/>
        <v>-9.2419672565609901E-2</v>
      </c>
      <c r="AN10" s="53">
        <f t="shared" si="41"/>
        <v>0</v>
      </c>
      <c r="AO10" s="80">
        <f t="shared" si="42"/>
        <v>0</v>
      </c>
      <c r="AP10" s="76" t="s">
        <v>8</v>
      </c>
      <c r="AQ10" s="30" t="s">
        <v>8</v>
      </c>
      <c r="AR10" s="35">
        <f t="shared" si="43"/>
        <v>0.95708859649640221</v>
      </c>
      <c r="AS10" s="33">
        <f t="shared" si="44"/>
        <v>-9.2419672565609901E-2</v>
      </c>
      <c r="AT10" s="53">
        <f t="shared" si="45"/>
        <v>0</v>
      </c>
      <c r="AU10" s="80">
        <f t="shared" si="46"/>
        <v>0</v>
      </c>
      <c r="AV10" s="76" t="s">
        <v>8</v>
      </c>
      <c r="AW10" s="30" t="s">
        <v>8</v>
      </c>
      <c r="AX10" s="35">
        <f t="shared" si="47"/>
        <v>0.95708859649640221</v>
      </c>
      <c r="AY10" s="33">
        <f t="shared" si="48"/>
        <v>-9.2419672565609901E-2</v>
      </c>
      <c r="AZ10" s="53">
        <f t="shared" si="49"/>
        <v>0</v>
      </c>
      <c r="BA10" s="80">
        <f t="shared" si="50"/>
        <v>0</v>
      </c>
      <c r="BB10" s="76" t="s">
        <v>8</v>
      </c>
      <c r="BC10" s="30" t="s">
        <v>8</v>
      </c>
      <c r="BD10" s="35">
        <f t="shared" si="51"/>
        <v>0.95708859649640221</v>
      </c>
      <c r="BE10" s="33">
        <f t="shared" si="52"/>
        <v>-9.2419672565609901E-2</v>
      </c>
      <c r="BF10" s="53">
        <f t="shared" si="53"/>
        <v>0</v>
      </c>
      <c r="BG10" s="80">
        <f t="shared" si="54"/>
        <v>0</v>
      </c>
      <c r="BH10" s="76" t="s">
        <v>8</v>
      </c>
      <c r="BI10" s="30" t="s">
        <v>8</v>
      </c>
      <c r="BJ10" s="35">
        <f t="shared" si="55"/>
        <v>0.95708859649640221</v>
      </c>
      <c r="BK10" s="33">
        <f t="shared" si="56"/>
        <v>-9.2419672565609901E-2</v>
      </c>
      <c r="BL10" s="53">
        <f t="shared" si="57"/>
        <v>0</v>
      </c>
      <c r="BM10" s="80">
        <f t="shared" si="58"/>
        <v>0</v>
      </c>
      <c r="BN10" s="76" t="s">
        <v>8</v>
      </c>
      <c r="BO10" s="30" t="s">
        <v>8</v>
      </c>
      <c r="BP10" s="35">
        <f t="shared" si="59"/>
        <v>0.95708859649640221</v>
      </c>
      <c r="BQ10" s="33">
        <f t="shared" si="60"/>
        <v>-9.2419672565609901E-2</v>
      </c>
      <c r="BR10" s="53">
        <f t="shared" si="61"/>
        <v>0</v>
      </c>
      <c r="BS10" s="132">
        <f t="shared" si="62"/>
        <v>0</v>
      </c>
      <c r="BT10" s="76" t="s">
        <v>8</v>
      </c>
      <c r="BU10" s="30" t="s">
        <v>8</v>
      </c>
      <c r="BV10" s="35">
        <f t="shared" si="63"/>
        <v>0.95708859649640221</v>
      </c>
      <c r="BW10" s="33">
        <f t="shared" si="64"/>
        <v>-9.2419672565609901E-2</v>
      </c>
      <c r="BX10" s="53">
        <f t="shared" si="65"/>
        <v>0</v>
      </c>
      <c r="BY10" s="132">
        <f t="shared" si="66"/>
        <v>0</v>
      </c>
      <c r="BZ10" s="76" t="s">
        <v>8</v>
      </c>
      <c r="CA10" s="30" t="s">
        <v>8</v>
      </c>
      <c r="CB10" s="35">
        <f t="shared" si="67"/>
        <v>0.95708859649640221</v>
      </c>
      <c r="CC10" s="33">
        <f t="shared" si="68"/>
        <v>-9.2419672565609901E-2</v>
      </c>
      <c r="CD10" s="53">
        <f t="shared" si="69"/>
        <v>0</v>
      </c>
      <c r="CE10" s="132">
        <f t="shared" si="70"/>
        <v>0</v>
      </c>
      <c r="CF10" s="76" t="s">
        <v>8</v>
      </c>
      <c r="CG10" s="30" t="s">
        <v>8</v>
      </c>
      <c r="CH10" s="35">
        <f t="shared" si="71"/>
        <v>0.95708859649640221</v>
      </c>
      <c r="CI10" s="33">
        <f t="shared" si="72"/>
        <v>-9.2419672565609901E-2</v>
      </c>
      <c r="CJ10" s="53">
        <f t="shared" si="73"/>
        <v>0</v>
      </c>
      <c r="CK10" s="132">
        <f t="shared" si="74"/>
        <v>0</v>
      </c>
      <c r="CL10" s="76" t="s">
        <v>8</v>
      </c>
      <c r="CM10" s="30" t="s">
        <v>8</v>
      </c>
      <c r="CN10" s="35">
        <f t="shared" si="75"/>
        <v>0.95708859649640221</v>
      </c>
      <c r="CO10" s="33">
        <f t="shared" si="76"/>
        <v>-9.2419672565609901E-2</v>
      </c>
      <c r="CP10" s="53">
        <f t="shared" si="77"/>
        <v>0</v>
      </c>
      <c r="CQ10" s="132">
        <f t="shared" si="78"/>
        <v>0</v>
      </c>
      <c r="CR10" s="76" t="s">
        <v>8</v>
      </c>
      <c r="CS10" s="30" t="s">
        <v>8</v>
      </c>
      <c r="CT10" s="35">
        <f t="shared" si="79"/>
        <v>0.95708859649640221</v>
      </c>
      <c r="CU10" s="33">
        <f t="shared" si="80"/>
        <v>-9.2419672565609901E-2</v>
      </c>
      <c r="CV10" s="53">
        <f t="shared" si="81"/>
        <v>0</v>
      </c>
      <c r="CW10" s="132">
        <f t="shared" si="82"/>
        <v>0</v>
      </c>
      <c r="CX10" s="76" t="s">
        <v>8</v>
      </c>
      <c r="CY10" s="30" t="s">
        <v>8</v>
      </c>
      <c r="CZ10" s="35">
        <f t="shared" si="83"/>
        <v>0.95708859649640221</v>
      </c>
      <c r="DA10" s="33">
        <f t="shared" si="84"/>
        <v>-9.2419672565609901E-2</v>
      </c>
      <c r="DB10" s="53">
        <f t="shared" si="85"/>
        <v>0</v>
      </c>
      <c r="DC10" s="132">
        <f t="shared" si="86"/>
        <v>0</v>
      </c>
      <c r="DD10" s="76" t="s">
        <v>8</v>
      </c>
      <c r="DE10" s="30" t="s">
        <v>8</v>
      </c>
      <c r="DF10" s="35">
        <f t="shared" si="87"/>
        <v>0.95708859649640221</v>
      </c>
      <c r="DG10" s="33">
        <f t="shared" si="88"/>
        <v>-9.2419672565609901E-2</v>
      </c>
      <c r="DH10" s="53">
        <f t="shared" si="89"/>
        <v>0</v>
      </c>
      <c r="DI10" s="132">
        <f t="shared" si="90"/>
        <v>0</v>
      </c>
      <c r="DJ10" s="76" t="s">
        <v>8</v>
      </c>
      <c r="DK10" s="30" t="s">
        <v>8</v>
      </c>
      <c r="DL10" s="35">
        <f t="shared" si="91"/>
        <v>0.95708859649640221</v>
      </c>
      <c r="DM10" s="51">
        <f t="shared" si="92"/>
        <v>-9.2419672565609901E-2</v>
      </c>
      <c r="DN10" s="53">
        <f t="shared" si="93"/>
        <v>0</v>
      </c>
      <c r="DO10" s="132">
        <f t="shared" si="94"/>
        <v>0</v>
      </c>
      <c r="DP10" s="76" t="s">
        <v>8</v>
      </c>
      <c r="DQ10" s="30" t="s">
        <v>8</v>
      </c>
      <c r="DR10" s="35">
        <f t="shared" si="95"/>
        <v>0.95708859649640221</v>
      </c>
      <c r="DS10" s="51">
        <f t="shared" si="96"/>
        <v>-9.2419672565609901E-2</v>
      </c>
      <c r="DT10" s="53">
        <f t="shared" ref="DT10:DT21" si="144">IF(DS10&gt;0,$G10*$I10*(($H$22+$L$22+$Q$22+$W$22+$AC$22+$AI$22+$AO$22+$AU$22+$BA$22+$BG$22+$BM$22+$BS$22+$BY$22+$CE$22+$CK$22+$CQ$22+$CW$22+$DC$22+$DI$22+$DO$22)/$G$22)*DS10,0)</f>
        <v>0</v>
      </c>
      <c r="DU10" s="132">
        <f t="shared" si="97"/>
        <v>0</v>
      </c>
      <c r="DV10" s="76" t="s">
        <v>8</v>
      </c>
      <c r="DW10" s="30" t="s">
        <v>8</v>
      </c>
      <c r="DX10" s="35">
        <f t="shared" si="98"/>
        <v>0.95708859649640221</v>
      </c>
      <c r="DY10" s="33">
        <f t="shared" si="99"/>
        <v>-9.2419672565609901E-2</v>
      </c>
      <c r="DZ10" s="34">
        <f t="shared" si="100"/>
        <v>0</v>
      </c>
      <c r="EA10" s="80">
        <f t="shared" si="101"/>
        <v>0</v>
      </c>
      <c r="EB10" s="76" t="s">
        <v>8</v>
      </c>
      <c r="EC10" s="30" t="s">
        <v>8</v>
      </c>
      <c r="ED10" s="35">
        <f t="shared" si="102"/>
        <v>0.95708859649640221</v>
      </c>
      <c r="EE10" s="33">
        <f t="shared" si="103"/>
        <v>-9.2419672565609901E-2</v>
      </c>
      <c r="EF10" s="34">
        <f t="shared" si="104"/>
        <v>0</v>
      </c>
      <c r="EG10" s="80">
        <f t="shared" si="105"/>
        <v>0</v>
      </c>
      <c r="EH10" s="76" t="s">
        <v>8</v>
      </c>
      <c r="EI10" s="30" t="s">
        <v>8</v>
      </c>
      <c r="EJ10" s="35">
        <f t="shared" si="106"/>
        <v>0.95708859649640221</v>
      </c>
      <c r="EK10" s="33">
        <f t="shared" si="107"/>
        <v>-9.2419672565609901E-2</v>
      </c>
      <c r="EL10" s="34">
        <f t="shared" si="108"/>
        <v>0</v>
      </c>
      <c r="EM10" s="80">
        <f t="shared" si="109"/>
        <v>0</v>
      </c>
      <c r="EN10" s="76" t="s">
        <v>8</v>
      </c>
      <c r="EO10" s="30" t="s">
        <v>8</v>
      </c>
      <c r="EP10" s="35">
        <f t="shared" si="110"/>
        <v>0.95708859649640221</v>
      </c>
      <c r="EQ10" s="51">
        <f t="shared" si="111"/>
        <v>-9.2419672565609901E-2</v>
      </c>
      <c r="ER10" s="34">
        <f t="shared" si="112"/>
        <v>0</v>
      </c>
      <c r="ES10" s="80">
        <f t="shared" si="113"/>
        <v>0</v>
      </c>
      <c r="ET10" s="76" t="s">
        <v>8</v>
      </c>
      <c r="EU10" s="30" t="s">
        <v>8</v>
      </c>
      <c r="EV10" s="35">
        <f t="shared" si="114"/>
        <v>0.95708859649640221</v>
      </c>
      <c r="EW10" s="33">
        <f t="shared" si="115"/>
        <v>-9.2419672565609901E-2</v>
      </c>
      <c r="EX10" s="34">
        <f t="shared" si="116"/>
        <v>0</v>
      </c>
      <c r="EY10" s="80">
        <f t="shared" si="117"/>
        <v>0</v>
      </c>
      <c r="EZ10" s="76" t="s">
        <v>8</v>
      </c>
      <c r="FA10" s="30" t="s">
        <v>8</v>
      </c>
      <c r="FB10" s="35">
        <f t="shared" si="118"/>
        <v>0.95708859649640221</v>
      </c>
      <c r="FC10" s="33">
        <f t="shared" si="119"/>
        <v>-9.2419672565609901E-2</v>
      </c>
      <c r="FD10" s="34">
        <f t="shared" si="120"/>
        <v>0</v>
      </c>
      <c r="FE10" s="80">
        <f t="shared" si="121"/>
        <v>0</v>
      </c>
      <c r="FF10" s="76" t="s">
        <v>8</v>
      </c>
      <c r="FG10" s="30" t="s">
        <v>8</v>
      </c>
      <c r="FH10" s="35">
        <f t="shared" si="122"/>
        <v>0.95708859649640221</v>
      </c>
      <c r="FI10" s="33">
        <f t="shared" si="123"/>
        <v>-9.2419672565609901E-2</v>
      </c>
      <c r="FJ10" s="34">
        <f t="shared" si="124"/>
        <v>0</v>
      </c>
      <c r="FK10" s="80">
        <f t="shared" si="125"/>
        <v>0</v>
      </c>
      <c r="FL10" s="76" t="s">
        <v>8</v>
      </c>
      <c r="FM10" s="30" t="s">
        <v>8</v>
      </c>
      <c r="FN10" s="35">
        <f t="shared" si="126"/>
        <v>0.95708859649640221</v>
      </c>
      <c r="FO10" s="33">
        <f t="shared" si="127"/>
        <v>-9.2419672565609901E-2</v>
      </c>
      <c r="FP10" s="34">
        <f t="shared" si="128"/>
        <v>0</v>
      </c>
      <c r="FQ10" s="80">
        <f t="shared" si="129"/>
        <v>0</v>
      </c>
      <c r="FR10" s="76" t="s">
        <v>8</v>
      </c>
      <c r="FS10" s="30" t="s">
        <v>8</v>
      </c>
      <c r="FT10" s="35">
        <f t="shared" si="130"/>
        <v>0.95708859649640221</v>
      </c>
      <c r="FU10" s="33">
        <f t="shared" si="131"/>
        <v>-9.2419672565609901E-2</v>
      </c>
      <c r="FV10" s="34">
        <f t="shared" si="132"/>
        <v>0</v>
      </c>
      <c r="FW10" s="80">
        <f t="shared" si="133"/>
        <v>0</v>
      </c>
      <c r="FX10" s="76" t="s">
        <v>8</v>
      </c>
      <c r="FY10" s="30" t="s">
        <v>8</v>
      </c>
      <c r="FZ10" s="35">
        <f t="shared" si="134"/>
        <v>0.95708859649640221</v>
      </c>
      <c r="GA10" s="33">
        <f t="shared" si="135"/>
        <v>-9.2419672565609901E-2</v>
      </c>
      <c r="GB10" s="34">
        <f t="shared" si="136"/>
        <v>0</v>
      </c>
      <c r="GC10" s="80">
        <f t="shared" si="137"/>
        <v>0</v>
      </c>
      <c r="GD10" s="76" t="s">
        <v>8</v>
      </c>
      <c r="GE10" s="30" t="s">
        <v>8</v>
      </c>
      <c r="GF10" s="35">
        <f t="shared" si="138"/>
        <v>0.95708859649640221</v>
      </c>
      <c r="GG10" s="33">
        <f t="shared" si="139"/>
        <v>-9.2419672565609901E-2</v>
      </c>
      <c r="GH10" s="34">
        <f t="shared" si="140"/>
        <v>0</v>
      </c>
      <c r="GI10" s="132">
        <f t="shared" si="141"/>
        <v>0</v>
      </c>
      <c r="GJ10" s="168">
        <f t="shared" ref="GJ10:GJ21" si="145">Q10+W10+AC10+AI10+AO10+AU10+BA10+BG10+BM10+BS10+BY10+CE10+CK10+CQ10+CW10+DC10+DI10+DO10+DU10+EA10+EG10+EM10+ES10+EY10+FE10+FK10+FQ10+FW10+GC10+GI10</f>
        <v>497733.49798291113</v>
      </c>
      <c r="GK10" s="166">
        <f t="shared" ref="GK10:GK22" si="146">L10+GJ10</f>
        <v>680548.73063115845</v>
      </c>
      <c r="GL10" s="86">
        <f t="shared" si="142"/>
        <v>0.95708859649640221</v>
      </c>
      <c r="GN10" s="214">
        <v>680548.73</v>
      </c>
    </row>
    <row r="11" spans="1:196" s="25" customFormat="1" ht="30.75" thickBot="1" x14ac:dyDescent="0.3">
      <c r="A11" s="184" t="s">
        <v>175</v>
      </c>
      <c r="B11" s="155" t="s">
        <v>8</v>
      </c>
      <c r="C11" s="155" t="s">
        <v>8</v>
      </c>
      <c r="D11" s="155" t="s">
        <v>8</v>
      </c>
      <c r="E11" s="155" t="s">
        <v>8</v>
      </c>
      <c r="F11" s="155" t="s">
        <v>8</v>
      </c>
      <c r="G11" s="113">
        <f>'Исходные данные 25 г.'!C13</f>
        <v>221</v>
      </c>
      <c r="H11" s="49">
        <f>'Исходные данные 2026 г. '!D13</f>
        <v>89350</v>
      </c>
      <c r="I11" s="32">
        <f>'Расчет КРП'!H9</f>
        <v>6.5384147992780157</v>
      </c>
      <c r="J11" s="120" t="s">
        <v>8</v>
      </c>
      <c r="K11" s="124">
        <f t="shared" si="22"/>
        <v>9.8741470108656443E-2</v>
      </c>
      <c r="L11" s="77">
        <f t="shared" si="23"/>
        <v>214905.14050671618</v>
      </c>
      <c r="M11" s="73">
        <f t="shared" si="24"/>
        <v>0.33623502923054266</v>
      </c>
      <c r="N11" s="30" t="s">
        <v>8</v>
      </c>
      <c r="O11" s="33">
        <f t="shared" si="25"/>
        <v>9.846893153818187E-2</v>
      </c>
      <c r="P11" s="34">
        <f t="shared" si="143"/>
        <v>227465.91421956714</v>
      </c>
      <c r="Q11" s="80">
        <f t="shared" si="26"/>
        <v>227465.91421956714</v>
      </c>
      <c r="R11" s="160" t="s">
        <v>8</v>
      </c>
      <c r="S11" s="30" t="s">
        <v>8</v>
      </c>
      <c r="T11" s="35">
        <f t="shared" si="27"/>
        <v>0.5876096097526422</v>
      </c>
      <c r="U11" s="33">
        <f t="shared" si="28"/>
        <v>3.3781985035167827E-2</v>
      </c>
      <c r="V11" s="53">
        <f t="shared" si="29"/>
        <v>94904.613858080716</v>
      </c>
      <c r="W11" s="80">
        <f t="shared" si="30"/>
        <v>94904.613858080716</v>
      </c>
      <c r="X11" s="76" t="s">
        <v>8</v>
      </c>
      <c r="Y11" s="30" t="s">
        <v>8</v>
      </c>
      <c r="Z11" s="35">
        <f t="shared" si="31"/>
        <v>0.69248953244364675</v>
      </c>
      <c r="AA11" s="33">
        <f t="shared" si="32"/>
        <v>6.9290791805853291E-2</v>
      </c>
      <c r="AB11" s="53">
        <f t="shared" si="33"/>
        <v>229809.71403965392</v>
      </c>
      <c r="AC11" s="80">
        <f t="shared" si="34"/>
        <v>155554.18459814717</v>
      </c>
      <c r="AD11" s="76" t="s">
        <v>8</v>
      </c>
      <c r="AE11" s="30" t="s">
        <v>8</v>
      </c>
      <c r="AF11" s="35">
        <f t="shared" si="35"/>
        <v>0.86439382868062908</v>
      </c>
      <c r="AG11" s="33">
        <f t="shared" si="36"/>
        <v>2.7509525016322645E-4</v>
      </c>
      <c r="AH11" s="53">
        <f t="shared" si="37"/>
        <v>978.26452940931324</v>
      </c>
      <c r="AI11" s="80">
        <f t="shared" si="38"/>
        <v>0</v>
      </c>
      <c r="AJ11" s="76" t="s">
        <v>8</v>
      </c>
      <c r="AK11" s="30" t="s">
        <v>8</v>
      </c>
      <c r="AL11" s="35">
        <f t="shared" si="39"/>
        <v>0.86439382868062908</v>
      </c>
      <c r="AM11" s="33">
        <f t="shared" si="40"/>
        <v>2.7509525016322645E-4</v>
      </c>
      <c r="AN11" s="53">
        <f t="shared" si="41"/>
        <v>978.26452940931324</v>
      </c>
      <c r="AO11" s="80">
        <f t="shared" si="42"/>
        <v>0</v>
      </c>
      <c r="AP11" s="76" t="s">
        <v>8</v>
      </c>
      <c r="AQ11" s="30" t="s">
        <v>8</v>
      </c>
      <c r="AR11" s="35">
        <f t="shared" si="43"/>
        <v>0.86439382868062908</v>
      </c>
      <c r="AS11" s="33">
        <f t="shared" si="44"/>
        <v>2.7509525016322645E-4</v>
      </c>
      <c r="AT11" s="53">
        <f t="shared" si="45"/>
        <v>978.26452940931324</v>
      </c>
      <c r="AU11" s="80">
        <f t="shared" si="46"/>
        <v>0</v>
      </c>
      <c r="AV11" s="76" t="s">
        <v>8</v>
      </c>
      <c r="AW11" s="30" t="s">
        <v>8</v>
      </c>
      <c r="AX11" s="35">
        <f t="shared" si="47"/>
        <v>0.86439382868062908</v>
      </c>
      <c r="AY11" s="33">
        <f t="shared" si="48"/>
        <v>2.7509525016322645E-4</v>
      </c>
      <c r="AZ11" s="53">
        <f t="shared" si="49"/>
        <v>978.26452940931324</v>
      </c>
      <c r="BA11" s="80">
        <f t="shared" si="50"/>
        <v>0</v>
      </c>
      <c r="BB11" s="76" t="s">
        <v>8</v>
      </c>
      <c r="BC11" s="30" t="s">
        <v>8</v>
      </c>
      <c r="BD11" s="35">
        <f t="shared" si="51"/>
        <v>0.86439382868062908</v>
      </c>
      <c r="BE11" s="33">
        <f t="shared" si="52"/>
        <v>2.7509525016322645E-4</v>
      </c>
      <c r="BF11" s="53">
        <f t="shared" si="53"/>
        <v>978.26452940931324</v>
      </c>
      <c r="BG11" s="80">
        <f t="shared" si="54"/>
        <v>0</v>
      </c>
      <c r="BH11" s="76" t="s">
        <v>8</v>
      </c>
      <c r="BI11" s="30" t="s">
        <v>8</v>
      </c>
      <c r="BJ11" s="35">
        <f t="shared" si="55"/>
        <v>0.86439382868062908</v>
      </c>
      <c r="BK11" s="33">
        <f t="shared" si="56"/>
        <v>2.7509525016322645E-4</v>
      </c>
      <c r="BL11" s="53">
        <f t="shared" si="57"/>
        <v>978.26452940931324</v>
      </c>
      <c r="BM11" s="80">
        <f t="shared" si="58"/>
        <v>0</v>
      </c>
      <c r="BN11" s="76" t="s">
        <v>8</v>
      </c>
      <c r="BO11" s="30" t="s">
        <v>8</v>
      </c>
      <c r="BP11" s="35">
        <f t="shared" si="59"/>
        <v>0.86439382868062908</v>
      </c>
      <c r="BQ11" s="33">
        <f t="shared" si="60"/>
        <v>2.7509525016322645E-4</v>
      </c>
      <c r="BR11" s="53">
        <f t="shared" si="61"/>
        <v>978.26452940931324</v>
      </c>
      <c r="BS11" s="132">
        <f t="shared" si="62"/>
        <v>0</v>
      </c>
      <c r="BT11" s="76" t="s">
        <v>8</v>
      </c>
      <c r="BU11" s="30" t="s">
        <v>8</v>
      </c>
      <c r="BV11" s="35">
        <f t="shared" si="63"/>
        <v>0.86439382868062908</v>
      </c>
      <c r="BW11" s="33">
        <f t="shared" si="64"/>
        <v>2.7509525016322645E-4</v>
      </c>
      <c r="BX11" s="53">
        <f t="shared" si="65"/>
        <v>978.26452940931324</v>
      </c>
      <c r="BY11" s="132">
        <f t="shared" si="66"/>
        <v>0</v>
      </c>
      <c r="BZ11" s="76" t="s">
        <v>8</v>
      </c>
      <c r="CA11" s="30" t="s">
        <v>8</v>
      </c>
      <c r="CB11" s="35">
        <f t="shared" si="67"/>
        <v>0.86439382868062908</v>
      </c>
      <c r="CC11" s="33">
        <f t="shared" si="68"/>
        <v>2.7509525016322645E-4</v>
      </c>
      <c r="CD11" s="53">
        <f t="shared" si="69"/>
        <v>978.26452940931324</v>
      </c>
      <c r="CE11" s="132">
        <f t="shared" si="70"/>
        <v>0</v>
      </c>
      <c r="CF11" s="76" t="s">
        <v>8</v>
      </c>
      <c r="CG11" s="30" t="s">
        <v>8</v>
      </c>
      <c r="CH11" s="35">
        <f t="shared" si="71"/>
        <v>0.86439382868062908</v>
      </c>
      <c r="CI11" s="33">
        <f t="shared" si="72"/>
        <v>2.7509525016322645E-4</v>
      </c>
      <c r="CJ11" s="53">
        <f t="shared" si="73"/>
        <v>978.26452940931324</v>
      </c>
      <c r="CK11" s="132">
        <f t="shared" si="74"/>
        <v>0</v>
      </c>
      <c r="CL11" s="76" t="s">
        <v>8</v>
      </c>
      <c r="CM11" s="30" t="s">
        <v>8</v>
      </c>
      <c r="CN11" s="35">
        <f t="shared" si="75"/>
        <v>0.86439382868062908</v>
      </c>
      <c r="CO11" s="33">
        <f t="shared" si="76"/>
        <v>2.7509525016322645E-4</v>
      </c>
      <c r="CP11" s="53">
        <f t="shared" si="77"/>
        <v>978.26452940931324</v>
      </c>
      <c r="CQ11" s="132">
        <f t="shared" si="78"/>
        <v>0</v>
      </c>
      <c r="CR11" s="76" t="s">
        <v>8</v>
      </c>
      <c r="CS11" s="30" t="s">
        <v>8</v>
      </c>
      <c r="CT11" s="35">
        <f t="shared" si="79"/>
        <v>0.86439382868062908</v>
      </c>
      <c r="CU11" s="33">
        <f t="shared" si="80"/>
        <v>2.7509525016322645E-4</v>
      </c>
      <c r="CV11" s="53">
        <f t="shared" si="81"/>
        <v>978.26452940931324</v>
      </c>
      <c r="CW11" s="132">
        <f t="shared" si="82"/>
        <v>0</v>
      </c>
      <c r="CX11" s="76" t="s">
        <v>8</v>
      </c>
      <c r="CY11" s="30" t="s">
        <v>8</v>
      </c>
      <c r="CZ11" s="35">
        <f t="shared" si="83"/>
        <v>0.86439382868062908</v>
      </c>
      <c r="DA11" s="33">
        <f t="shared" si="84"/>
        <v>2.7509525016322645E-4</v>
      </c>
      <c r="DB11" s="53">
        <f t="shared" si="85"/>
        <v>978.26452940931324</v>
      </c>
      <c r="DC11" s="132">
        <f t="shared" si="86"/>
        <v>0</v>
      </c>
      <c r="DD11" s="76" t="s">
        <v>8</v>
      </c>
      <c r="DE11" s="30" t="s">
        <v>8</v>
      </c>
      <c r="DF11" s="35">
        <f t="shared" si="87"/>
        <v>0.86439382868062908</v>
      </c>
      <c r="DG11" s="33">
        <f t="shared" si="88"/>
        <v>2.7509525016322645E-4</v>
      </c>
      <c r="DH11" s="53">
        <f t="shared" si="89"/>
        <v>978.26452940931324</v>
      </c>
      <c r="DI11" s="132">
        <f t="shared" si="90"/>
        <v>0</v>
      </c>
      <c r="DJ11" s="76" t="s">
        <v>8</v>
      </c>
      <c r="DK11" s="30" t="s">
        <v>8</v>
      </c>
      <c r="DL11" s="35">
        <f t="shared" si="91"/>
        <v>0.86439382868062908</v>
      </c>
      <c r="DM11" s="51">
        <f t="shared" si="92"/>
        <v>2.7509525016322645E-4</v>
      </c>
      <c r="DN11" s="53">
        <f t="shared" si="93"/>
        <v>978.26452940931324</v>
      </c>
      <c r="DO11" s="132">
        <f t="shared" si="94"/>
        <v>0</v>
      </c>
      <c r="DP11" s="76" t="s">
        <v>8</v>
      </c>
      <c r="DQ11" s="30" t="s">
        <v>8</v>
      </c>
      <c r="DR11" s="35">
        <f t="shared" si="95"/>
        <v>0.86439382868062908</v>
      </c>
      <c r="DS11" s="51">
        <f t="shared" si="96"/>
        <v>2.7509525016322645E-4</v>
      </c>
      <c r="DT11" s="53">
        <f t="shared" si="144"/>
        <v>978.26452940931324</v>
      </c>
      <c r="DU11" s="132">
        <f t="shared" si="97"/>
        <v>0</v>
      </c>
      <c r="DV11" s="76" t="s">
        <v>8</v>
      </c>
      <c r="DW11" s="30" t="s">
        <v>8</v>
      </c>
      <c r="DX11" s="35">
        <f t="shared" si="98"/>
        <v>0.86439382868062908</v>
      </c>
      <c r="DY11" s="33">
        <f t="shared" si="99"/>
        <v>2.7509525016322645E-4</v>
      </c>
      <c r="DZ11" s="34">
        <f t="shared" si="100"/>
        <v>978.26452940931324</v>
      </c>
      <c r="EA11" s="80">
        <f t="shared" si="101"/>
        <v>0</v>
      </c>
      <c r="EB11" s="76" t="s">
        <v>8</v>
      </c>
      <c r="EC11" s="30" t="s">
        <v>8</v>
      </c>
      <c r="ED11" s="35">
        <f t="shared" si="102"/>
        <v>0.86439382868062908</v>
      </c>
      <c r="EE11" s="33">
        <f t="shared" si="103"/>
        <v>2.7509525016322645E-4</v>
      </c>
      <c r="EF11" s="34">
        <f t="shared" si="104"/>
        <v>978.26452940931324</v>
      </c>
      <c r="EG11" s="80">
        <f t="shared" si="105"/>
        <v>0</v>
      </c>
      <c r="EH11" s="76" t="s">
        <v>8</v>
      </c>
      <c r="EI11" s="30" t="s">
        <v>8</v>
      </c>
      <c r="EJ11" s="35">
        <f t="shared" si="106"/>
        <v>0.86439382868062908</v>
      </c>
      <c r="EK11" s="33">
        <f t="shared" si="107"/>
        <v>2.7509525016322645E-4</v>
      </c>
      <c r="EL11" s="34">
        <f t="shared" si="108"/>
        <v>978.26452940931324</v>
      </c>
      <c r="EM11" s="80">
        <f t="shared" si="109"/>
        <v>0</v>
      </c>
      <c r="EN11" s="76" t="s">
        <v>8</v>
      </c>
      <c r="EO11" s="30" t="s">
        <v>8</v>
      </c>
      <c r="EP11" s="35">
        <f t="shared" si="110"/>
        <v>0.86439382868062908</v>
      </c>
      <c r="EQ11" s="51">
        <f t="shared" si="111"/>
        <v>2.7509525016322645E-4</v>
      </c>
      <c r="ER11" s="34">
        <f t="shared" si="112"/>
        <v>978.26452940931324</v>
      </c>
      <c r="ES11" s="80">
        <f t="shared" si="113"/>
        <v>0</v>
      </c>
      <c r="ET11" s="76" t="s">
        <v>8</v>
      </c>
      <c r="EU11" s="30" t="s">
        <v>8</v>
      </c>
      <c r="EV11" s="35">
        <f t="shared" si="114"/>
        <v>0.86439382868062908</v>
      </c>
      <c r="EW11" s="33">
        <f t="shared" si="115"/>
        <v>2.7509525016322645E-4</v>
      </c>
      <c r="EX11" s="34">
        <f t="shared" si="116"/>
        <v>978.26452940931324</v>
      </c>
      <c r="EY11" s="80">
        <f t="shared" si="117"/>
        <v>0</v>
      </c>
      <c r="EZ11" s="76" t="s">
        <v>8</v>
      </c>
      <c r="FA11" s="30" t="s">
        <v>8</v>
      </c>
      <c r="FB11" s="35">
        <f t="shared" si="118"/>
        <v>0.86439382868062908</v>
      </c>
      <c r="FC11" s="33">
        <f t="shared" si="119"/>
        <v>2.7509525016322645E-4</v>
      </c>
      <c r="FD11" s="34">
        <f t="shared" si="120"/>
        <v>978.26452940931324</v>
      </c>
      <c r="FE11" s="80">
        <f t="shared" si="121"/>
        <v>0</v>
      </c>
      <c r="FF11" s="76" t="s">
        <v>8</v>
      </c>
      <c r="FG11" s="30" t="s">
        <v>8</v>
      </c>
      <c r="FH11" s="35">
        <f t="shared" si="122"/>
        <v>0.86439382868062908</v>
      </c>
      <c r="FI11" s="33">
        <f t="shared" si="123"/>
        <v>2.7509525016322645E-4</v>
      </c>
      <c r="FJ11" s="34">
        <f t="shared" si="124"/>
        <v>978.26452940931324</v>
      </c>
      <c r="FK11" s="80">
        <f t="shared" si="125"/>
        <v>0</v>
      </c>
      <c r="FL11" s="76" t="s">
        <v>8</v>
      </c>
      <c r="FM11" s="30" t="s">
        <v>8</v>
      </c>
      <c r="FN11" s="35">
        <f t="shared" si="126"/>
        <v>0.86439382868062908</v>
      </c>
      <c r="FO11" s="33">
        <f t="shared" si="127"/>
        <v>2.7509525016322645E-4</v>
      </c>
      <c r="FP11" s="34">
        <f t="shared" si="128"/>
        <v>978.26452940931324</v>
      </c>
      <c r="FQ11" s="80">
        <f t="shared" si="129"/>
        <v>0</v>
      </c>
      <c r="FR11" s="76" t="s">
        <v>8</v>
      </c>
      <c r="FS11" s="30" t="s">
        <v>8</v>
      </c>
      <c r="FT11" s="35">
        <f t="shared" si="130"/>
        <v>0.86439382868062908</v>
      </c>
      <c r="FU11" s="33">
        <f t="shared" si="131"/>
        <v>2.7509525016322645E-4</v>
      </c>
      <c r="FV11" s="34">
        <f t="shared" si="132"/>
        <v>978.26452940931324</v>
      </c>
      <c r="FW11" s="80">
        <f t="shared" si="133"/>
        <v>0</v>
      </c>
      <c r="FX11" s="76" t="s">
        <v>8</v>
      </c>
      <c r="FY11" s="30" t="s">
        <v>8</v>
      </c>
      <c r="FZ11" s="35">
        <f t="shared" si="134"/>
        <v>0.86439382868062908</v>
      </c>
      <c r="GA11" s="33">
        <f t="shared" si="135"/>
        <v>2.7509525016322645E-4</v>
      </c>
      <c r="GB11" s="34">
        <f t="shared" si="136"/>
        <v>978.26452940931324</v>
      </c>
      <c r="GC11" s="80">
        <f t="shared" si="137"/>
        <v>0</v>
      </c>
      <c r="GD11" s="76" t="s">
        <v>8</v>
      </c>
      <c r="GE11" s="30" t="s">
        <v>8</v>
      </c>
      <c r="GF11" s="35">
        <f t="shared" si="138"/>
        <v>0.86439382868062908</v>
      </c>
      <c r="GG11" s="33">
        <f t="shared" si="139"/>
        <v>2.7509525016322645E-4</v>
      </c>
      <c r="GH11" s="34">
        <f t="shared" si="140"/>
        <v>978.26452940931324</v>
      </c>
      <c r="GI11" s="132">
        <f t="shared" si="141"/>
        <v>0</v>
      </c>
      <c r="GJ11" s="168">
        <f t="shared" si="145"/>
        <v>477924.71267579502</v>
      </c>
      <c r="GK11" s="166">
        <f t="shared" si="146"/>
        <v>692829.85318251117</v>
      </c>
      <c r="GL11" s="86">
        <f t="shared" si="142"/>
        <v>0.86439382868062897</v>
      </c>
      <c r="GN11" s="214">
        <v>692829.85</v>
      </c>
    </row>
    <row r="12" spans="1:196" s="25" customFormat="1" ht="16.5" thickBot="1" x14ac:dyDescent="0.3">
      <c r="A12" s="184" t="s">
        <v>176</v>
      </c>
      <c r="B12" s="155" t="s">
        <v>8</v>
      </c>
      <c r="C12" s="155" t="s">
        <v>8</v>
      </c>
      <c r="D12" s="155" t="s">
        <v>8</v>
      </c>
      <c r="E12" s="155" t="s">
        <v>8</v>
      </c>
      <c r="F12" s="155" t="s">
        <v>8</v>
      </c>
      <c r="G12" s="113">
        <f>'Исходные данные 25 г.'!C14</f>
        <v>526</v>
      </c>
      <c r="H12" s="49">
        <f>'Исходные данные 2026 г. '!D14</f>
        <v>145230</v>
      </c>
      <c r="I12" s="32">
        <f>'Расчет КРП'!H10</f>
        <v>5.9961293756220142</v>
      </c>
      <c r="J12" s="120" t="s">
        <v>8</v>
      </c>
      <c r="K12" s="124">
        <f t="shared" si="22"/>
        <v>7.3530813882461396E-2</v>
      </c>
      <c r="L12" s="77">
        <f t="shared" si="23"/>
        <v>511493.68283498968</v>
      </c>
      <c r="M12" s="73">
        <f t="shared" si="24"/>
        <v>0.33250311157986795</v>
      </c>
      <c r="N12" s="30" t="s">
        <v>8</v>
      </c>
      <c r="O12" s="33">
        <f t="shared" si="25"/>
        <v>0.10220084918885658</v>
      </c>
      <c r="P12" s="34">
        <f t="shared" si="143"/>
        <v>515304.10491640866</v>
      </c>
      <c r="Q12" s="80">
        <f t="shared" si="26"/>
        <v>515304.10491640866</v>
      </c>
      <c r="R12" s="160" t="s">
        <v>8</v>
      </c>
      <c r="S12" s="30" t="s">
        <v>8</v>
      </c>
      <c r="T12" s="35">
        <f t="shared" si="27"/>
        <v>0.59340464866915255</v>
      </c>
      <c r="U12" s="33">
        <f t="shared" si="28"/>
        <v>2.7986946118657485E-2</v>
      </c>
      <c r="V12" s="53">
        <f t="shared" si="29"/>
        <v>171612.79689240892</v>
      </c>
      <c r="W12" s="80">
        <f t="shared" si="30"/>
        <v>171612.79689240892</v>
      </c>
      <c r="X12" s="76" t="s">
        <v>8</v>
      </c>
      <c r="Y12" s="30" t="s">
        <v>8</v>
      </c>
      <c r="Z12" s="35">
        <f t="shared" si="31"/>
        <v>0.68029322973466499</v>
      </c>
      <c r="AA12" s="33">
        <f t="shared" si="32"/>
        <v>8.1487094514835046E-2</v>
      </c>
      <c r="AB12" s="53">
        <f t="shared" si="33"/>
        <v>589893.60433160968</v>
      </c>
      <c r="AC12" s="80">
        <f t="shared" si="34"/>
        <v>399288.6854453517</v>
      </c>
      <c r="AD12" s="76" t="s">
        <v>8</v>
      </c>
      <c r="AE12" s="30" t="s">
        <v>8</v>
      </c>
      <c r="AF12" s="35">
        <f t="shared" si="35"/>
        <v>0.88245546904372529</v>
      </c>
      <c r="AG12" s="33">
        <f t="shared" si="36"/>
        <v>-1.7786545112932983E-2</v>
      </c>
      <c r="AH12" s="53">
        <f t="shared" si="37"/>
        <v>0</v>
      </c>
      <c r="AI12" s="80">
        <f t="shared" si="38"/>
        <v>0</v>
      </c>
      <c r="AJ12" s="76" t="s">
        <v>8</v>
      </c>
      <c r="AK12" s="30" t="s">
        <v>8</v>
      </c>
      <c r="AL12" s="35">
        <f t="shared" si="39"/>
        <v>0.88245546904372529</v>
      </c>
      <c r="AM12" s="33">
        <f t="shared" si="40"/>
        <v>-1.7786545112932983E-2</v>
      </c>
      <c r="AN12" s="53">
        <f t="shared" si="41"/>
        <v>0</v>
      </c>
      <c r="AO12" s="80">
        <f t="shared" si="42"/>
        <v>0</v>
      </c>
      <c r="AP12" s="76" t="s">
        <v>8</v>
      </c>
      <c r="AQ12" s="30" t="s">
        <v>8</v>
      </c>
      <c r="AR12" s="35">
        <f t="shared" si="43"/>
        <v>0.88245546904372529</v>
      </c>
      <c r="AS12" s="33">
        <f t="shared" si="44"/>
        <v>-1.7786545112932983E-2</v>
      </c>
      <c r="AT12" s="53">
        <f t="shared" si="45"/>
        <v>0</v>
      </c>
      <c r="AU12" s="80">
        <f t="shared" si="46"/>
        <v>0</v>
      </c>
      <c r="AV12" s="76" t="s">
        <v>8</v>
      </c>
      <c r="AW12" s="30" t="s">
        <v>8</v>
      </c>
      <c r="AX12" s="35">
        <f t="shared" si="47"/>
        <v>0.88245546904372529</v>
      </c>
      <c r="AY12" s="33">
        <f t="shared" si="48"/>
        <v>-1.7786545112932983E-2</v>
      </c>
      <c r="AZ12" s="53">
        <f t="shared" si="49"/>
        <v>0</v>
      </c>
      <c r="BA12" s="80">
        <f t="shared" si="50"/>
        <v>0</v>
      </c>
      <c r="BB12" s="76" t="s">
        <v>8</v>
      </c>
      <c r="BC12" s="30" t="s">
        <v>8</v>
      </c>
      <c r="BD12" s="35">
        <f t="shared" si="51"/>
        <v>0.88245546904372529</v>
      </c>
      <c r="BE12" s="33">
        <f t="shared" si="52"/>
        <v>-1.7786545112932983E-2</v>
      </c>
      <c r="BF12" s="53">
        <f t="shared" si="53"/>
        <v>0</v>
      </c>
      <c r="BG12" s="80">
        <f t="shared" si="54"/>
        <v>0</v>
      </c>
      <c r="BH12" s="76" t="s">
        <v>8</v>
      </c>
      <c r="BI12" s="30" t="s">
        <v>8</v>
      </c>
      <c r="BJ12" s="35">
        <f t="shared" si="55"/>
        <v>0.88245546904372529</v>
      </c>
      <c r="BK12" s="33">
        <f t="shared" si="56"/>
        <v>-1.7786545112932983E-2</v>
      </c>
      <c r="BL12" s="53">
        <f t="shared" si="57"/>
        <v>0</v>
      </c>
      <c r="BM12" s="80">
        <f t="shared" si="58"/>
        <v>0</v>
      </c>
      <c r="BN12" s="76" t="s">
        <v>8</v>
      </c>
      <c r="BO12" s="30" t="s">
        <v>8</v>
      </c>
      <c r="BP12" s="35">
        <f t="shared" si="59"/>
        <v>0.88245546904372529</v>
      </c>
      <c r="BQ12" s="33">
        <f t="shared" si="60"/>
        <v>-1.7786545112932983E-2</v>
      </c>
      <c r="BR12" s="53">
        <f t="shared" si="61"/>
        <v>0</v>
      </c>
      <c r="BS12" s="132">
        <f t="shared" si="62"/>
        <v>0</v>
      </c>
      <c r="BT12" s="76" t="s">
        <v>8</v>
      </c>
      <c r="BU12" s="30" t="s">
        <v>8</v>
      </c>
      <c r="BV12" s="35">
        <f t="shared" si="63"/>
        <v>0.88245546904372529</v>
      </c>
      <c r="BW12" s="33">
        <f t="shared" si="64"/>
        <v>-1.7786545112932983E-2</v>
      </c>
      <c r="BX12" s="53">
        <f t="shared" si="65"/>
        <v>0</v>
      </c>
      <c r="BY12" s="132">
        <f t="shared" si="66"/>
        <v>0</v>
      </c>
      <c r="BZ12" s="76" t="s">
        <v>8</v>
      </c>
      <c r="CA12" s="30" t="s">
        <v>8</v>
      </c>
      <c r="CB12" s="35">
        <f t="shared" si="67"/>
        <v>0.88245546904372529</v>
      </c>
      <c r="CC12" s="33">
        <f t="shared" si="68"/>
        <v>-1.7786545112932983E-2</v>
      </c>
      <c r="CD12" s="53">
        <f t="shared" si="69"/>
        <v>0</v>
      </c>
      <c r="CE12" s="132">
        <f t="shared" si="70"/>
        <v>0</v>
      </c>
      <c r="CF12" s="76" t="s">
        <v>8</v>
      </c>
      <c r="CG12" s="30" t="s">
        <v>8</v>
      </c>
      <c r="CH12" s="35">
        <f t="shared" si="71"/>
        <v>0.88245546904372529</v>
      </c>
      <c r="CI12" s="33">
        <f t="shared" si="72"/>
        <v>-1.7786545112932983E-2</v>
      </c>
      <c r="CJ12" s="53">
        <f t="shared" si="73"/>
        <v>0</v>
      </c>
      <c r="CK12" s="132">
        <f t="shared" si="74"/>
        <v>0</v>
      </c>
      <c r="CL12" s="76" t="s">
        <v>8</v>
      </c>
      <c r="CM12" s="30" t="s">
        <v>8</v>
      </c>
      <c r="CN12" s="35">
        <f t="shared" si="75"/>
        <v>0.88245546904372529</v>
      </c>
      <c r="CO12" s="33">
        <f t="shared" si="76"/>
        <v>-1.7786545112932983E-2</v>
      </c>
      <c r="CP12" s="53">
        <f t="shared" si="77"/>
        <v>0</v>
      </c>
      <c r="CQ12" s="132">
        <f t="shared" si="78"/>
        <v>0</v>
      </c>
      <c r="CR12" s="76" t="s">
        <v>8</v>
      </c>
      <c r="CS12" s="30" t="s">
        <v>8</v>
      </c>
      <c r="CT12" s="35">
        <f t="shared" si="79"/>
        <v>0.88245546904372529</v>
      </c>
      <c r="CU12" s="33">
        <f t="shared" si="80"/>
        <v>-1.7786545112932983E-2</v>
      </c>
      <c r="CV12" s="53">
        <f t="shared" si="81"/>
        <v>0</v>
      </c>
      <c r="CW12" s="132">
        <f t="shared" si="82"/>
        <v>0</v>
      </c>
      <c r="CX12" s="76" t="s">
        <v>8</v>
      </c>
      <c r="CY12" s="30" t="s">
        <v>8</v>
      </c>
      <c r="CZ12" s="35">
        <f t="shared" si="83"/>
        <v>0.88245546904372529</v>
      </c>
      <c r="DA12" s="33">
        <f t="shared" si="84"/>
        <v>-1.7786545112932983E-2</v>
      </c>
      <c r="DB12" s="53">
        <f t="shared" si="85"/>
        <v>0</v>
      </c>
      <c r="DC12" s="132">
        <f t="shared" si="86"/>
        <v>0</v>
      </c>
      <c r="DD12" s="76" t="s">
        <v>8</v>
      </c>
      <c r="DE12" s="30" t="s">
        <v>8</v>
      </c>
      <c r="DF12" s="35">
        <f t="shared" si="87"/>
        <v>0.88245546904372529</v>
      </c>
      <c r="DG12" s="33">
        <f t="shared" si="88"/>
        <v>-1.7786545112932983E-2</v>
      </c>
      <c r="DH12" s="53">
        <f t="shared" si="89"/>
        <v>0</v>
      </c>
      <c r="DI12" s="132">
        <f t="shared" si="90"/>
        <v>0</v>
      </c>
      <c r="DJ12" s="76" t="s">
        <v>8</v>
      </c>
      <c r="DK12" s="30" t="s">
        <v>8</v>
      </c>
      <c r="DL12" s="35">
        <f t="shared" si="91"/>
        <v>0.88245546904372529</v>
      </c>
      <c r="DM12" s="51">
        <f t="shared" si="92"/>
        <v>-1.7786545112932983E-2</v>
      </c>
      <c r="DN12" s="53">
        <f t="shared" si="93"/>
        <v>0</v>
      </c>
      <c r="DO12" s="132">
        <f t="shared" si="94"/>
        <v>0</v>
      </c>
      <c r="DP12" s="76" t="s">
        <v>8</v>
      </c>
      <c r="DQ12" s="30" t="s">
        <v>8</v>
      </c>
      <c r="DR12" s="35">
        <f t="shared" si="95"/>
        <v>0.88245546904372529</v>
      </c>
      <c r="DS12" s="51">
        <f t="shared" si="96"/>
        <v>-1.7786545112932983E-2</v>
      </c>
      <c r="DT12" s="53">
        <f t="shared" si="144"/>
        <v>0</v>
      </c>
      <c r="DU12" s="132">
        <f t="shared" si="97"/>
        <v>0</v>
      </c>
      <c r="DV12" s="76" t="s">
        <v>8</v>
      </c>
      <c r="DW12" s="30" t="s">
        <v>8</v>
      </c>
      <c r="DX12" s="35">
        <f t="shared" si="98"/>
        <v>0.88245546904372529</v>
      </c>
      <c r="DY12" s="33">
        <f t="shared" si="99"/>
        <v>-1.7786545112932983E-2</v>
      </c>
      <c r="DZ12" s="34">
        <f t="shared" si="100"/>
        <v>0</v>
      </c>
      <c r="EA12" s="80">
        <f t="shared" si="101"/>
        <v>0</v>
      </c>
      <c r="EB12" s="76" t="s">
        <v>8</v>
      </c>
      <c r="EC12" s="30" t="s">
        <v>8</v>
      </c>
      <c r="ED12" s="35">
        <f t="shared" si="102"/>
        <v>0.88245546904372529</v>
      </c>
      <c r="EE12" s="33">
        <f t="shared" si="103"/>
        <v>-1.7786545112932983E-2</v>
      </c>
      <c r="EF12" s="34">
        <f t="shared" si="104"/>
        <v>0</v>
      </c>
      <c r="EG12" s="80">
        <f t="shared" si="105"/>
        <v>0</v>
      </c>
      <c r="EH12" s="76" t="s">
        <v>8</v>
      </c>
      <c r="EI12" s="30" t="s">
        <v>8</v>
      </c>
      <c r="EJ12" s="35">
        <f t="shared" si="106"/>
        <v>0.88245546904372529</v>
      </c>
      <c r="EK12" s="33">
        <f t="shared" si="107"/>
        <v>-1.7786545112932983E-2</v>
      </c>
      <c r="EL12" s="34">
        <f t="shared" si="108"/>
        <v>0</v>
      </c>
      <c r="EM12" s="80">
        <f t="shared" si="109"/>
        <v>0</v>
      </c>
      <c r="EN12" s="76" t="s">
        <v>8</v>
      </c>
      <c r="EO12" s="30" t="s">
        <v>8</v>
      </c>
      <c r="EP12" s="35">
        <f t="shared" si="110"/>
        <v>0.88245546904372529</v>
      </c>
      <c r="EQ12" s="51">
        <f t="shared" si="111"/>
        <v>-1.7786545112932983E-2</v>
      </c>
      <c r="ER12" s="34">
        <f t="shared" si="112"/>
        <v>0</v>
      </c>
      <c r="ES12" s="80">
        <f t="shared" si="113"/>
        <v>0</v>
      </c>
      <c r="ET12" s="76" t="s">
        <v>8</v>
      </c>
      <c r="EU12" s="30" t="s">
        <v>8</v>
      </c>
      <c r="EV12" s="35">
        <f t="shared" si="114"/>
        <v>0.88245546904372529</v>
      </c>
      <c r="EW12" s="33">
        <f t="shared" si="115"/>
        <v>-1.7786545112932983E-2</v>
      </c>
      <c r="EX12" s="34">
        <f t="shared" si="116"/>
        <v>0</v>
      </c>
      <c r="EY12" s="80">
        <f t="shared" si="117"/>
        <v>0</v>
      </c>
      <c r="EZ12" s="76" t="s">
        <v>8</v>
      </c>
      <c r="FA12" s="30" t="s">
        <v>8</v>
      </c>
      <c r="FB12" s="35">
        <f t="shared" si="118"/>
        <v>0.88245546904372529</v>
      </c>
      <c r="FC12" s="33">
        <f t="shared" si="119"/>
        <v>-1.7786545112932983E-2</v>
      </c>
      <c r="FD12" s="34">
        <f t="shared" si="120"/>
        <v>0</v>
      </c>
      <c r="FE12" s="80">
        <f t="shared" si="121"/>
        <v>0</v>
      </c>
      <c r="FF12" s="76" t="s">
        <v>8</v>
      </c>
      <c r="FG12" s="30" t="s">
        <v>8</v>
      </c>
      <c r="FH12" s="35">
        <f t="shared" si="122"/>
        <v>0.88245546904372529</v>
      </c>
      <c r="FI12" s="33">
        <f t="shared" si="123"/>
        <v>-1.7786545112932983E-2</v>
      </c>
      <c r="FJ12" s="34">
        <f t="shared" si="124"/>
        <v>0</v>
      </c>
      <c r="FK12" s="80">
        <f t="shared" si="125"/>
        <v>0</v>
      </c>
      <c r="FL12" s="76" t="s">
        <v>8</v>
      </c>
      <c r="FM12" s="30" t="s">
        <v>8</v>
      </c>
      <c r="FN12" s="35">
        <f t="shared" si="126"/>
        <v>0.88245546904372529</v>
      </c>
      <c r="FO12" s="33">
        <f t="shared" si="127"/>
        <v>-1.7786545112932983E-2</v>
      </c>
      <c r="FP12" s="34">
        <f t="shared" si="128"/>
        <v>0</v>
      </c>
      <c r="FQ12" s="80">
        <f t="shared" si="129"/>
        <v>0</v>
      </c>
      <c r="FR12" s="76" t="s">
        <v>8</v>
      </c>
      <c r="FS12" s="30" t="s">
        <v>8</v>
      </c>
      <c r="FT12" s="35">
        <f t="shared" si="130"/>
        <v>0.88245546904372529</v>
      </c>
      <c r="FU12" s="33">
        <f t="shared" si="131"/>
        <v>-1.7786545112932983E-2</v>
      </c>
      <c r="FV12" s="34">
        <f t="shared" si="132"/>
        <v>0</v>
      </c>
      <c r="FW12" s="80">
        <f t="shared" si="133"/>
        <v>0</v>
      </c>
      <c r="FX12" s="76" t="s">
        <v>8</v>
      </c>
      <c r="FY12" s="30" t="s">
        <v>8</v>
      </c>
      <c r="FZ12" s="35">
        <f t="shared" si="134"/>
        <v>0.88245546904372529</v>
      </c>
      <c r="GA12" s="33">
        <f t="shared" si="135"/>
        <v>-1.7786545112932983E-2</v>
      </c>
      <c r="GB12" s="34">
        <f t="shared" si="136"/>
        <v>0</v>
      </c>
      <c r="GC12" s="80">
        <f t="shared" si="137"/>
        <v>0</v>
      </c>
      <c r="GD12" s="76" t="s">
        <v>8</v>
      </c>
      <c r="GE12" s="30" t="s">
        <v>8</v>
      </c>
      <c r="GF12" s="35">
        <f t="shared" si="138"/>
        <v>0.88245546904372529</v>
      </c>
      <c r="GG12" s="33">
        <f t="shared" si="139"/>
        <v>-1.7786545112932983E-2</v>
      </c>
      <c r="GH12" s="34">
        <f t="shared" si="140"/>
        <v>0</v>
      </c>
      <c r="GI12" s="132">
        <f t="shared" si="141"/>
        <v>0</v>
      </c>
      <c r="GJ12" s="168">
        <f t="shared" si="145"/>
        <v>1086205.5872541694</v>
      </c>
      <c r="GK12" s="166">
        <f t="shared" si="146"/>
        <v>1597699.270089159</v>
      </c>
      <c r="GL12" s="86">
        <f t="shared" si="142"/>
        <v>0.8824554690437254</v>
      </c>
      <c r="GN12" s="214">
        <v>1597699.27</v>
      </c>
    </row>
    <row r="13" spans="1:196" s="25" customFormat="1" ht="15.75" customHeight="1" thickBot="1" x14ac:dyDescent="0.3">
      <c r="A13" s="184" t="s">
        <v>177</v>
      </c>
      <c r="B13" s="155" t="s">
        <v>8</v>
      </c>
      <c r="C13" s="155" t="s">
        <v>8</v>
      </c>
      <c r="D13" s="155" t="s">
        <v>8</v>
      </c>
      <c r="E13" s="155" t="s">
        <v>8</v>
      </c>
      <c r="F13" s="155" t="s">
        <v>8</v>
      </c>
      <c r="G13" s="113">
        <f>'Исходные данные 25 г.'!C15</f>
        <v>171</v>
      </c>
      <c r="H13" s="49">
        <f>'Исходные данные 2026 г. '!D15</f>
        <v>73910</v>
      </c>
      <c r="I13" s="32">
        <f>'Расчет КРП'!H11</f>
        <v>8.0956912299775894</v>
      </c>
      <c r="J13" s="120" t="s">
        <v>8</v>
      </c>
      <c r="K13" s="124">
        <f t="shared" si="22"/>
        <v>8.525560305931125E-2</v>
      </c>
      <c r="L13" s="77">
        <f t="shared" si="23"/>
        <v>166284.06799388447</v>
      </c>
      <c r="M13" s="73">
        <f t="shared" si="24"/>
        <v>0.27706521604773149</v>
      </c>
      <c r="N13" s="30" t="s">
        <v>8</v>
      </c>
      <c r="O13" s="33">
        <f t="shared" si="25"/>
        <v>0.15763874472099304</v>
      </c>
      <c r="P13" s="34">
        <f t="shared" si="143"/>
        <v>348871.40382838988</v>
      </c>
      <c r="Q13" s="80">
        <f t="shared" si="26"/>
        <v>348871.40382838988</v>
      </c>
      <c r="R13" s="160" t="s">
        <v>8</v>
      </c>
      <c r="S13" s="30" t="s">
        <v>8</v>
      </c>
      <c r="T13" s="35">
        <f t="shared" si="27"/>
        <v>0.67949035369538247</v>
      </c>
      <c r="U13" s="33">
        <f t="shared" si="28"/>
        <v>-5.8098758907572434E-2</v>
      </c>
      <c r="V13" s="53">
        <f t="shared" si="29"/>
        <v>0</v>
      </c>
      <c r="W13" s="80">
        <f t="shared" si="30"/>
        <v>0</v>
      </c>
      <c r="X13" s="76" t="s">
        <v>8</v>
      </c>
      <c r="Y13" s="30" t="s">
        <v>8</v>
      </c>
      <c r="Z13" s="35">
        <f t="shared" si="31"/>
        <v>0.67949035369538247</v>
      </c>
      <c r="AA13" s="33">
        <f t="shared" si="32"/>
        <v>8.2289970554117575E-2</v>
      </c>
      <c r="AB13" s="53">
        <f t="shared" si="33"/>
        <v>261471.92767202028</v>
      </c>
      <c r="AC13" s="80">
        <f t="shared" si="34"/>
        <v>176985.78440991684</v>
      </c>
      <c r="AD13" s="76" t="s">
        <v>8</v>
      </c>
      <c r="AE13" s="30" t="s">
        <v>8</v>
      </c>
      <c r="AF13" s="35">
        <f t="shared" si="35"/>
        <v>0.88364445710213002</v>
      </c>
      <c r="AG13" s="33">
        <f t="shared" si="36"/>
        <v>-1.8975533171337711E-2</v>
      </c>
      <c r="AH13" s="53">
        <f t="shared" si="37"/>
        <v>0</v>
      </c>
      <c r="AI13" s="80">
        <f t="shared" si="38"/>
        <v>0</v>
      </c>
      <c r="AJ13" s="76" t="s">
        <v>8</v>
      </c>
      <c r="AK13" s="30" t="s">
        <v>8</v>
      </c>
      <c r="AL13" s="35">
        <f t="shared" si="39"/>
        <v>0.88364445710213002</v>
      </c>
      <c r="AM13" s="33">
        <f t="shared" si="40"/>
        <v>-1.8975533171337711E-2</v>
      </c>
      <c r="AN13" s="53">
        <f t="shared" si="41"/>
        <v>0</v>
      </c>
      <c r="AO13" s="80">
        <f t="shared" si="42"/>
        <v>0</v>
      </c>
      <c r="AP13" s="76" t="s">
        <v>8</v>
      </c>
      <c r="AQ13" s="30" t="s">
        <v>8</v>
      </c>
      <c r="AR13" s="35">
        <f t="shared" si="43"/>
        <v>0.88364445710213002</v>
      </c>
      <c r="AS13" s="33">
        <f t="shared" si="44"/>
        <v>-1.8975533171337711E-2</v>
      </c>
      <c r="AT13" s="53">
        <f t="shared" si="45"/>
        <v>0</v>
      </c>
      <c r="AU13" s="80">
        <f t="shared" si="46"/>
        <v>0</v>
      </c>
      <c r="AV13" s="76" t="s">
        <v>8</v>
      </c>
      <c r="AW13" s="30" t="s">
        <v>8</v>
      </c>
      <c r="AX13" s="35">
        <f t="shared" si="47"/>
        <v>0.88364445710213002</v>
      </c>
      <c r="AY13" s="33">
        <f t="shared" si="48"/>
        <v>-1.8975533171337711E-2</v>
      </c>
      <c r="AZ13" s="53">
        <f t="shared" si="49"/>
        <v>0</v>
      </c>
      <c r="BA13" s="80">
        <f t="shared" si="50"/>
        <v>0</v>
      </c>
      <c r="BB13" s="76" t="s">
        <v>8</v>
      </c>
      <c r="BC13" s="30" t="s">
        <v>8</v>
      </c>
      <c r="BD13" s="35">
        <f t="shared" si="51"/>
        <v>0.88364445710213002</v>
      </c>
      <c r="BE13" s="33">
        <f t="shared" si="52"/>
        <v>-1.8975533171337711E-2</v>
      </c>
      <c r="BF13" s="53">
        <f t="shared" si="53"/>
        <v>0</v>
      </c>
      <c r="BG13" s="80">
        <f t="shared" si="54"/>
        <v>0</v>
      </c>
      <c r="BH13" s="76" t="s">
        <v>8</v>
      </c>
      <c r="BI13" s="30" t="s">
        <v>8</v>
      </c>
      <c r="BJ13" s="35">
        <f t="shared" si="55"/>
        <v>0.88364445710213002</v>
      </c>
      <c r="BK13" s="33">
        <f t="shared" si="56"/>
        <v>-1.8975533171337711E-2</v>
      </c>
      <c r="BL13" s="53">
        <f t="shared" si="57"/>
        <v>0</v>
      </c>
      <c r="BM13" s="80">
        <f t="shared" si="58"/>
        <v>0</v>
      </c>
      <c r="BN13" s="76" t="s">
        <v>8</v>
      </c>
      <c r="BO13" s="30" t="s">
        <v>8</v>
      </c>
      <c r="BP13" s="35">
        <f t="shared" si="59"/>
        <v>0.88364445710213002</v>
      </c>
      <c r="BQ13" s="33">
        <f t="shared" si="60"/>
        <v>-1.8975533171337711E-2</v>
      </c>
      <c r="BR13" s="53">
        <f t="shared" si="61"/>
        <v>0</v>
      </c>
      <c r="BS13" s="132">
        <f t="shared" si="62"/>
        <v>0</v>
      </c>
      <c r="BT13" s="76" t="s">
        <v>8</v>
      </c>
      <c r="BU13" s="30" t="s">
        <v>8</v>
      </c>
      <c r="BV13" s="35">
        <f t="shared" si="63"/>
        <v>0.88364445710213002</v>
      </c>
      <c r="BW13" s="33">
        <f t="shared" si="64"/>
        <v>-1.8975533171337711E-2</v>
      </c>
      <c r="BX13" s="53">
        <f t="shared" si="65"/>
        <v>0</v>
      </c>
      <c r="BY13" s="132">
        <f t="shared" si="66"/>
        <v>0</v>
      </c>
      <c r="BZ13" s="76" t="s">
        <v>8</v>
      </c>
      <c r="CA13" s="30" t="s">
        <v>8</v>
      </c>
      <c r="CB13" s="35">
        <f t="shared" si="67"/>
        <v>0.88364445710213002</v>
      </c>
      <c r="CC13" s="33">
        <f t="shared" si="68"/>
        <v>-1.8975533171337711E-2</v>
      </c>
      <c r="CD13" s="53">
        <f t="shared" si="69"/>
        <v>0</v>
      </c>
      <c r="CE13" s="132">
        <f t="shared" si="70"/>
        <v>0</v>
      </c>
      <c r="CF13" s="76" t="s">
        <v>8</v>
      </c>
      <c r="CG13" s="30" t="s">
        <v>8</v>
      </c>
      <c r="CH13" s="35">
        <f t="shared" si="71"/>
        <v>0.88364445710213002</v>
      </c>
      <c r="CI13" s="33">
        <f t="shared" si="72"/>
        <v>-1.8975533171337711E-2</v>
      </c>
      <c r="CJ13" s="53">
        <f t="shared" si="73"/>
        <v>0</v>
      </c>
      <c r="CK13" s="132">
        <f t="shared" si="74"/>
        <v>0</v>
      </c>
      <c r="CL13" s="76" t="s">
        <v>8</v>
      </c>
      <c r="CM13" s="30" t="s">
        <v>8</v>
      </c>
      <c r="CN13" s="35">
        <f t="shared" si="75"/>
        <v>0.88364445710213002</v>
      </c>
      <c r="CO13" s="33">
        <f t="shared" si="76"/>
        <v>-1.8975533171337711E-2</v>
      </c>
      <c r="CP13" s="53">
        <f t="shared" si="77"/>
        <v>0</v>
      </c>
      <c r="CQ13" s="132">
        <f t="shared" si="78"/>
        <v>0</v>
      </c>
      <c r="CR13" s="76" t="s">
        <v>8</v>
      </c>
      <c r="CS13" s="30" t="s">
        <v>8</v>
      </c>
      <c r="CT13" s="35">
        <f t="shared" si="79"/>
        <v>0.88364445710213002</v>
      </c>
      <c r="CU13" s="33">
        <f t="shared" si="80"/>
        <v>-1.8975533171337711E-2</v>
      </c>
      <c r="CV13" s="53">
        <f t="shared" si="81"/>
        <v>0</v>
      </c>
      <c r="CW13" s="132">
        <f t="shared" si="82"/>
        <v>0</v>
      </c>
      <c r="CX13" s="76" t="s">
        <v>8</v>
      </c>
      <c r="CY13" s="30" t="s">
        <v>8</v>
      </c>
      <c r="CZ13" s="35">
        <f t="shared" si="83"/>
        <v>0.88364445710213002</v>
      </c>
      <c r="DA13" s="33">
        <f t="shared" si="84"/>
        <v>-1.8975533171337711E-2</v>
      </c>
      <c r="DB13" s="53">
        <f t="shared" si="85"/>
        <v>0</v>
      </c>
      <c r="DC13" s="132">
        <f t="shared" si="86"/>
        <v>0</v>
      </c>
      <c r="DD13" s="76" t="s">
        <v>8</v>
      </c>
      <c r="DE13" s="30" t="s">
        <v>8</v>
      </c>
      <c r="DF13" s="35">
        <f t="shared" si="87"/>
        <v>0.88364445710213002</v>
      </c>
      <c r="DG13" s="33">
        <f t="shared" si="88"/>
        <v>-1.8975533171337711E-2</v>
      </c>
      <c r="DH13" s="53">
        <f t="shared" si="89"/>
        <v>0</v>
      </c>
      <c r="DI13" s="132">
        <f t="shared" si="90"/>
        <v>0</v>
      </c>
      <c r="DJ13" s="76" t="s">
        <v>8</v>
      </c>
      <c r="DK13" s="30" t="s">
        <v>8</v>
      </c>
      <c r="DL13" s="35">
        <f t="shared" si="91"/>
        <v>0.88364445710213002</v>
      </c>
      <c r="DM13" s="51">
        <f t="shared" si="92"/>
        <v>-1.8975533171337711E-2</v>
      </c>
      <c r="DN13" s="53">
        <f t="shared" si="93"/>
        <v>0</v>
      </c>
      <c r="DO13" s="132">
        <f t="shared" si="94"/>
        <v>0</v>
      </c>
      <c r="DP13" s="76" t="s">
        <v>8</v>
      </c>
      <c r="DQ13" s="30" t="s">
        <v>8</v>
      </c>
      <c r="DR13" s="35">
        <f t="shared" si="95"/>
        <v>0.88364445710213002</v>
      </c>
      <c r="DS13" s="51">
        <f t="shared" si="96"/>
        <v>-1.8975533171337711E-2</v>
      </c>
      <c r="DT13" s="53">
        <f t="shared" si="144"/>
        <v>0</v>
      </c>
      <c r="DU13" s="132">
        <f t="shared" si="97"/>
        <v>0</v>
      </c>
      <c r="DV13" s="76" t="s">
        <v>8</v>
      </c>
      <c r="DW13" s="30" t="s">
        <v>8</v>
      </c>
      <c r="DX13" s="35">
        <f t="shared" si="98"/>
        <v>0.88364445710213002</v>
      </c>
      <c r="DY13" s="33">
        <f t="shared" si="99"/>
        <v>-1.8975533171337711E-2</v>
      </c>
      <c r="DZ13" s="34">
        <f t="shared" si="100"/>
        <v>0</v>
      </c>
      <c r="EA13" s="80">
        <f t="shared" si="101"/>
        <v>0</v>
      </c>
      <c r="EB13" s="76" t="s">
        <v>8</v>
      </c>
      <c r="EC13" s="30" t="s">
        <v>8</v>
      </c>
      <c r="ED13" s="35">
        <f t="shared" si="102"/>
        <v>0.88364445710213002</v>
      </c>
      <c r="EE13" s="33">
        <f t="shared" si="103"/>
        <v>-1.8975533171337711E-2</v>
      </c>
      <c r="EF13" s="34">
        <f t="shared" si="104"/>
        <v>0</v>
      </c>
      <c r="EG13" s="80">
        <f t="shared" si="105"/>
        <v>0</v>
      </c>
      <c r="EH13" s="76" t="s">
        <v>8</v>
      </c>
      <c r="EI13" s="30" t="s">
        <v>8</v>
      </c>
      <c r="EJ13" s="35">
        <f t="shared" si="106"/>
        <v>0.88364445710213002</v>
      </c>
      <c r="EK13" s="33">
        <f t="shared" si="107"/>
        <v>-1.8975533171337711E-2</v>
      </c>
      <c r="EL13" s="34">
        <f t="shared" si="108"/>
        <v>0</v>
      </c>
      <c r="EM13" s="80">
        <f t="shared" si="109"/>
        <v>0</v>
      </c>
      <c r="EN13" s="76" t="s">
        <v>8</v>
      </c>
      <c r="EO13" s="30" t="s">
        <v>8</v>
      </c>
      <c r="EP13" s="35">
        <f t="shared" si="110"/>
        <v>0.88364445710213002</v>
      </c>
      <c r="EQ13" s="51">
        <f t="shared" si="111"/>
        <v>-1.8975533171337711E-2</v>
      </c>
      <c r="ER13" s="34">
        <f t="shared" si="112"/>
        <v>0</v>
      </c>
      <c r="ES13" s="80">
        <f t="shared" si="113"/>
        <v>0</v>
      </c>
      <c r="ET13" s="76" t="s">
        <v>8</v>
      </c>
      <c r="EU13" s="30" t="s">
        <v>8</v>
      </c>
      <c r="EV13" s="35">
        <f t="shared" si="114"/>
        <v>0.88364445710213002</v>
      </c>
      <c r="EW13" s="33">
        <f t="shared" si="115"/>
        <v>-1.8975533171337711E-2</v>
      </c>
      <c r="EX13" s="34">
        <f t="shared" si="116"/>
        <v>0</v>
      </c>
      <c r="EY13" s="80">
        <f t="shared" si="117"/>
        <v>0</v>
      </c>
      <c r="EZ13" s="76" t="s">
        <v>8</v>
      </c>
      <c r="FA13" s="30" t="s">
        <v>8</v>
      </c>
      <c r="FB13" s="35">
        <f t="shared" si="118"/>
        <v>0.88364445710213002</v>
      </c>
      <c r="FC13" s="33">
        <f t="shared" si="119"/>
        <v>-1.8975533171337711E-2</v>
      </c>
      <c r="FD13" s="34">
        <f t="shared" si="120"/>
        <v>0</v>
      </c>
      <c r="FE13" s="80">
        <f t="shared" si="121"/>
        <v>0</v>
      </c>
      <c r="FF13" s="76" t="s">
        <v>8</v>
      </c>
      <c r="FG13" s="30" t="s">
        <v>8</v>
      </c>
      <c r="FH13" s="35">
        <f t="shared" si="122"/>
        <v>0.88364445710213002</v>
      </c>
      <c r="FI13" s="33">
        <f t="shared" si="123"/>
        <v>-1.8975533171337711E-2</v>
      </c>
      <c r="FJ13" s="34">
        <f t="shared" si="124"/>
        <v>0</v>
      </c>
      <c r="FK13" s="80">
        <f t="shared" si="125"/>
        <v>0</v>
      </c>
      <c r="FL13" s="76" t="s">
        <v>8</v>
      </c>
      <c r="FM13" s="30" t="s">
        <v>8</v>
      </c>
      <c r="FN13" s="35">
        <f t="shared" si="126"/>
        <v>0.88364445710213002</v>
      </c>
      <c r="FO13" s="33">
        <f t="shared" si="127"/>
        <v>-1.8975533171337711E-2</v>
      </c>
      <c r="FP13" s="34">
        <f t="shared" si="128"/>
        <v>0</v>
      </c>
      <c r="FQ13" s="80">
        <f t="shared" si="129"/>
        <v>0</v>
      </c>
      <c r="FR13" s="76" t="s">
        <v>8</v>
      </c>
      <c r="FS13" s="30" t="s">
        <v>8</v>
      </c>
      <c r="FT13" s="35">
        <f t="shared" si="130"/>
        <v>0.88364445710213002</v>
      </c>
      <c r="FU13" s="33">
        <f t="shared" si="131"/>
        <v>-1.8975533171337711E-2</v>
      </c>
      <c r="FV13" s="34">
        <f t="shared" si="132"/>
        <v>0</v>
      </c>
      <c r="FW13" s="80">
        <f t="shared" si="133"/>
        <v>0</v>
      </c>
      <c r="FX13" s="76" t="s">
        <v>8</v>
      </c>
      <c r="FY13" s="30" t="s">
        <v>8</v>
      </c>
      <c r="FZ13" s="35">
        <f t="shared" si="134"/>
        <v>0.88364445710213002</v>
      </c>
      <c r="GA13" s="33">
        <f t="shared" si="135"/>
        <v>-1.8975533171337711E-2</v>
      </c>
      <c r="GB13" s="34">
        <f t="shared" si="136"/>
        <v>0</v>
      </c>
      <c r="GC13" s="80">
        <f t="shared" si="137"/>
        <v>0</v>
      </c>
      <c r="GD13" s="76" t="s">
        <v>8</v>
      </c>
      <c r="GE13" s="30" t="s">
        <v>8</v>
      </c>
      <c r="GF13" s="35">
        <f t="shared" si="138"/>
        <v>0.88364445710213002</v>
      </c>
      <c r="GG13" s="33">
        <f t="shared" si="139"/>
        <v>-1.8975533171337711E-2</v>
      </c>
      <c r="GH13" s="34">
        <f t="shared" si="140"/>
        <v>0</v>
      </c>
      <c r="GI13" s="132">
        <f t="shared" si="141"/>
        <v>0</v>
      </c>
      <c r="GJ13" s="168">
        <f t="shared" si="145"/>
        <v>525857.18823830667</v>
      </c>
      <c r="GK13" s="166">
        <f t="shared" si="146"/>
        <v>692141.25623219111</v>
      </c>
      <c r="GL13" s="86">
        <f t="shared" si="142"/>
        <v>0.88364445710212991</v>
      </c>
      <c r="GN13" s="214">
        <v>692141.26</v>
      </c>
    </row>
    <row r="14" spans="1:196" s="25" customFormat="1" ht="16.5" thickBot="1" x14ac:dyDescent="0.3">
      <c r="A14" s="184" t="s">
        <v>178</v>
      </c>
      <c r="B14" s="155" t="s">
        <v>8</v>
      </c>
      <c r="C14" s="155" t="s">
        <v>8</v>
      </c>
      <c r="D14" s="155" t="s">
        <v>8</v>
      </c>
      <c r="E14" s="155" t="s">
        <v>8</v>
      </c>
      <c r="F14" s="155" t="s">
        <v>8</v>
      </c>
      <c r="G14" s="113">
        <f>'Исходные данные 25 г.'!C16</f>
        <v>98</v>
      </c>
      <c r="H14" s="49">
        <f>'Исходные данные 2026 г. '!D16</f>
        <v>56290</v>
      </c>
      <c r="I14" s="32">
        <f>'Расчет КРП'!H12</f>
        <v>7.2978341638888917</v>
      </c>
      <c r="J14" s="120" t="s">
        <v>8</v>
      </c>
      <c r="K14" s="124">
        <f t="shared" si="22"/>
        <v>0.12568427879523794</v>
      </c>
      <c r="L14" s="77">
        <f t="shared" si="23"/>
        <v>95297.302125150163</v>
      </c>
      <c r="M14" s="73">
        <f t="shared" si="24"/>
        <v>0.33846403876559489</v>
      </c>
      <c r="N14" s="30" t="s">
        <v>8</v>
      </c>
      <c r="O14" s="33">
        <f t="shared" si="25"/>
        <v>9.6239922003129641E-2</v>
      </c>
      <c r="P14" s="34">
        <f t="shared" si="143"/>
        <v>110034.19916433506</v>
      </c>
      <c r="Q14" s="80">
        <f t="shared" si="26"/>
        <v>110034.19916433506</v>
      </c>
      <c r="R14" s="160" t="s">
        <v>8</v>
      </c>
      <c r="S14" s="30" t="s">
        <v>8</v>
      </c>
      <c r="T14" s="35">
        <f t="shared" si="27"/>
        <v>0.58414833375193398</v>
      </c>
      <c r="U14" s="33">
        <f t="shared" si="28"/>
        <v>3.7243261035876052E-2</v>
      </c>
      <c r="V14" s="53">
        <f t="shared" si="29"/>
        <v>51785.14368505928</v>
      </c>
      <c r="W14" s="80">
        <f t="shared" si="30"/>
        <v>51785.14368505928</v>
      </c>
      <c r="X14" s="76" t="s">
        <v>8</v>
      </c>
      <c r="Y14" s="30" t="s">
        <v>8</v>
      </c>
      <c r="Z14" s="35">
        <f t="shared" si="31"/>
        <v>0.69977417202453018</v>
      </c>
      <c r="AA14" s="33">
        <f t="shared" si="32"/>
        <v>6.2006152224969857E-2</v>
      </c>
      <c r="AB14" s="53">
        <f t="shared" si="33"/>
        <v>101784.8084438462</v>
      </c>
      <c r="AC14" s="80">
        <f t="shared" si="34"/>
        <v>68896.360400279198</v>
      </c>
      <c r="AD14" s="76" t="s">
        <v>8</v>
      </c>
      <c r="AE14" s="30" t="s">
        <v>8</v>
      </c>
      <c r="AF14" s="35">
        <f t="shared" si="35"/>
        <v>0.85360592488517828</v>
      </c>
      <c r="AG14" s="33">
        <f t="shared" si="36"/>
        <v>1.106299904561403E-2</v>
      </c>
      <c r="AH14" s="53">
        <f t="shared" si="37"/>
        <v>19471.589861565801</v>
      </c>
      <c r="AI14" s="80">
        <f t="shared" si="38"/>
        <v>0</v>
      </c>
      <c r="AJ14" s="76" t="s">
        <v>8</v>
      </c>
      <c r="AK14" s="30" t="s">
        <v>8</v>
      </c>
      <c r="AL14" s="35">
        <f t="shared" si="39"/>
        <v>0.85360592488517828</v>
      </c>
      <c r="AM14" s="33">
        <f t="shared" si="40"/>
        <v>1.106299904561403E-2</v>
      </c>
      <c r="AN14" s="53">
        <f t="shared" si="41"/>
        <v>19471.589861565801</v>
      </c>
      <c r="AO14" s="80">
        <f t="shared" si="42"/>
        <v>0</v>
      </c>
      <c r="AP14" s="76" t="s">
        <v>8</v>
      </c>
      <c r="AQ14" s="30" t="s">
        <v>8</v>
      </c>
      <c r="AR14" s="35">
        <f t="shared" si="43"/>
        <v>0.85360592488517828</v>
      </c>
      <c r="AS14" s="33">
        <f t="shared" si="44"/>
        <v>1.106299904561403E-2</v>
      </c>
      <c r="AT14" s="53">
        <f t="shared" si="45"/>
        <v>19471.589861565801</v>
      </c>
      <c r="AU14" s="80">
        <f t="shared" si="46"/>
        <v>0</v>
      </c>
      <c r="AV14" s="76" t="s">
        <v>8</v>
      </c>
      <c r="AW14" s="30" t="s">
        <v>8</v>
      </c>
      <c r="AX14" s="35">
        <f t="shared" si="47"/>
        <v>0.85360592488517828</v>
      </c>
      <c r="AY14" s="33">
        <f t="shared" si="48"/>
        <v>1.106299904561403E-2</v>
      </c>
      <c r="AZ14" s="53">
        <f t="shared" si="49"/>
        <v>19471.589861565801</v>
      </c>
      <c r="BA14" s="80">
        <f t="shared" si="50"/>
        <v>0</v>
      </c>
      <c r="BB14" s="76" t="s">
        <v>8</v>
      </c>
      <c r="BC14" s="30" t="s">
        <v>8</v>
      </c>
      <c r="BD14" s="35">
        <f t="shared" si="51"/>
        <v>0.85360592488517828</v>
      </c>
      <c r="BE14" s="33">
        <f t="shared" si="52"/>
        <v>1.106299904561403E-2</v>
      </c>
      <c r="BF14" s="53">
        <f t="shared" si="53"/>
        <v>19471.589861565801</v>
      </c>
      <c r="BG14" s="80">
        <f t="shared" si="54"/>
        <v>0</v>
      </c>
      <c r="BH14" s="76" t="s">
        <v>8</v>
      </c>
      <c r="BI14" s="30" t="s">
        <v>8</v>
      </c>
      <c r="BJ14" s="35">
        <f t="shared" si="55"/>
        <v>0.85360592488517828</v>
      </c>
      <c r="BK14" s="33">
        <f t="shared" si="56"/>
        <v>1.106299904561403E-2</v>
      </c>
      <c r="BL14" s="53">
        <f t="shared" si="57"/>
        <v>19471.589861565801</v>
      </c>
      <c r="BM14" s="80">
        <f t="shared" si="58"/>
        <v>0</v>
      </c>
      <c r="BN14" s="76" t="s">
        <v>8</v>
      </c>
      <c r="BO14" s="30" t="s">
        <v>8</v>
      </c>
      <c r="BP14" s="35">
        <f t="shared" si="59"/>
        <v>0.85360592488517828</v>
      </c>
      <c r="BQ14" s="33">
        <f t="shared" si="60"/>
        <v>1.106299904561403E-2</v>
      </c>
      <c r="BR14" s="53">
        <f t="shared" si="61"/>
        <v>19471.589861565801</v>
      </c>
      <c r="BS14" s="132">
        <f t="shared" si="62"/>
        <v>0</v>
      </c>
      <c r="BT14" s="76" t="s">
        <v>8</v>
      </c>
      <c r="BU14" s="30" t="s">
        <v>8</v>
      </c>
      <c r="BV14" s="35">
        <f t="shared" si="63"/>
        <v>0.85360592488517828</v>
      </c>
      <c r="BW14" s="33">
        <f t="shared" si="64"/>
        <v>1.106299904561403E-2</v>
      </c>
      <c r="BX14" s="53">
        <f t="shared" si="65"/>
        <v>19471.589861565801</v>
      </c>
      <c r="BY14" s="132">
        <f t="shared" si="66"/>
        <v>0</v>
      </c>
      <c r="BZ14" s="76" t="s">
        <v>8</v>
      </c>
      <c r="CA14" s="30" t="s">
        <v>8</v>
      </c>
      <c r="CB14" s="35">
        <f t="shared" si="67"/>
        <v>0.85360592488517828</v>
      </c>
      <c r="CC14" s="33">
        <f t="shared" si="68"/>
        <v>1.106299904561403E-2</v>
      </c>
      <c r="CD14" s="53">
        <f t="shared" si="69"/>
        <v>19471.589861565801</v>
      </c>
      <c r="CE14" s="132">
        <f t="shared" si="70"/>
        <v>0</v>
      </c>
      <c r="CF14" s="76" t="s">
        <v>8</v>
      </c>
      <c r="CG14" s="30" t="s">
        <v>8</v>
      </c>
      <c r="CH14" s="35">
        <f t="shared" si="71"/>
        <v>0.85360592488517828</v>
      </c>
      <c r="CI14" s="33">
        <f t="shared" si="72"/>
        <v>1.106299904561403E-2</v>
      </c>
      <c r="CJ14" s="53">
        <f t="shared" si="73"/>
        <v>19471.589861565801</v>
      </c>
      <c r="CK14" s="132">
        <f t="shared" si="74"/>
        <v>0</v>
      </c>
      <c r="CL14" s="76" t="s">
        <v>8</v>
      </c>
      <c r="CM14" s="30" t="s">
        <v>8</v>
      </c>
      <c r="CN14" s="35">
        <f t="shared" si="75"/>
        <v>0.85360592488517828</v>
      </c>
      <c r="CO14" s="33">
        <f t="shared" si="76"/>
        <v>1.106299904561403E-2</v>
      </c>
      <c r="CP14" s="53">
        <f t="shared" si="77"/>
        <v>19471.589861565801</v>
      </c>
      <c r="CQ14" s="132">
        <f t="shared" si="78"/>
        <v>0</v>
      </c>
      <c r="CR14" s="76" t="s">
        <v>8</v>
      </c>
      <c r="CS14" s="30" t="s">
        <v>8</v>
      </c>
      <c r="CT14" s="35">
        <f t="shared" si="79"/>
        <v>0.85360592488517828</v>
      </c>
      <c r="CU14" s="33">
        <f t="shared" si="80"/>
        <v>1.106299904561403E-2</v>
      </c>
      <c r="CV14" s="53">
        <f t="shared" si="81"/>
        <v>19471.589861565801</v>
      </c>
      <c r="CW14" s="132">
        <f t="shared" si="82"/>
        <v>0</v>
      </c>
      <c r="CX14" s="76" t="s">
        <v>8</v>
      </c>
      <c r="CY14" s="30" t="s">
        <v>8</v>
      </c>
      <c r="CZ14" s="35">
        <f t="shared" si="83"/>
        <v>0.85360592488517828</v>
      </c>
      <c r="DA14" s="33">
        <f t="shared" si="84"/>
        <v>1.106299904561403E-2</v>
      </c>
      <c r="DB14" s="53">
        <f t="shared" si="85"/>
        <v>19471.589861565801</v>
      </c>
      <c r="DC14" s="132">
        <f t="shared" si="86"/>
        <v>0</v>
      </c>
      <c r="DD14" s="76" t="s">
        <v>8</v>
      </c>
      <c r="DE14" s="30" t="s">
        <v>8</v>
      </c>
      <c r="DF14" s="35">
        <f t="shared" si="87"/>
        <v>0.85360592488517828</v>
      </c>
      <c r="DG14" s="33">
        <f t="shared" si="88"/>
        <v>1.106299904561403E-2</v>
      </c>
      <c r="DH14" s="53">
        <f t="shared" si="89"/>
        <v>19471.589861565801</v>
      </c>
      <c r="DI14" s="132">
        <f t="shared" si="90"/>
        <v>0</v>
      </c>
      <c r="DJ14" s="76" t="s">
        <v>8</v>
      </c>
      <c r="DK14" s="30" t="s">
        <v>8</v>
      </c>
      <c r="DL14" s="35">
        <f t="shared" si="91"/>
        <v>0.85360592488517828</v>
      </c>
      <c r="DM14" s="51">
        <f t="shared" si="92"/>
        <v>1.106299904561403E-2</v>
      </c>
      <c r="DN14" s="53">
        <f t="shared" si="93"/>
        <v>19471.589861565801</v>
      </c>
      <c r="DO14" s="132">
        <f t="shared" si="94"/>
        <v>0</v>
      </c>
      <c r="DP14" s="76" t="s">
        <v>8</v>
      </c>
      <c r="DQ14" s="30" t="s">
        <v>8</v>
      </c>
      <c r="DR14" s="35">
        <f t="shared" si="95"/>
        <v>0.85360592488517828</v>
      </c>
      <c r="DS14" s="51">
        <f t="shared" si="96"/>
        <v>1.106299904561403E-2</v>
      </c>
      <c r="DT14" s="53">
        <f t="shared" si="144"/>
        <v>19471.589861565801</v>
      </c>
      <c r="DU14" s="132">
        <f t="shared" si="97"/>
        <v>0</v>
      </c>
      <c r="DV14" s="76" t="s">
        <v>8</v>
      </c>
      <c r="DW14" s="30" t="s">
        <v>8</v>
      </c>
      <c r="DX14" s="35">
        <f t="shared" si="98"/>
        <v>0.85360592488517828</v>
      </c>
      <c r="DY14" s="33">
        <f t="shared" si="99"/>
        <v>1.106299904561403E-2</v>
      </c>
      <c r="DZ14" s="34">
        <f t="shared" si="100"/>
        <v>19471.589861565801</v>
      </c>
      <c r="EA14" s="80">
        <f t="shared" si="101"/>
        <v>0</v>
      </c>
      <c r="EB14" s="76" t="s">
        <v>8</v>
      </c>
      <c r="EC14" s="30" t="s">
        <v>8</v>
      </c>
      <c r="ED14" s="35">
        <f t="shared" si="102"/>
        <v>0.85360592488517828</v>
      </c>
      <c r="EE14" s="33">
        <f t="shared" si="103"/>
        <v>1.106299904561403E-2</v>
      </c>
      <c r="EF14" s="34">
        <f t="shared" si="104"/>
        <v>19471.589861565801</v>
      </c>
      <c r="EG14" s="80">
        <f t="shared" si="105"/>
        <v>0</v>
      </c>
      <c r="EH14" s="76" t="s">
        <v>8</v>
      </c>
      <c r="EI14" s="30" t="s">
        <v>8</v>
      </c>
      <c r="EJ14" s="35">
        <f t="shared" si="106"/>
        <v>0.85360592488517828</v>
      </c>
      <c r="EK14" s="33">
        <f t="shared" si="107"/>
        <v>1.106299904561403E-2</v>
      </c>
      <c r="EL14" s="34">
        <f t="shared" si="108"/>
        <v>19471.589861565801</v>
      </c>
      <c r="EM14" s="80">
        <f t="shared" si="109"/>
        <v>0</v>
      </c>
      <c r="EN14" s="76" t="s">
        <v>8</v>
      </c>
      <c r="EO14" s="30" t="s">
        <v>8</v>
      </c>
      <c r="EP14" s="35">
        <f t="shared" si="110"/>
        <v>0.85360592488517828</v>
      </c>
      <c r="EQ14" s="51">
        <f t="shared" si="111"/>
        <v>1.106299904561403E-2</v>
      </c>
      <c r="ER14" s="34">
        <f t="shared" si="112"/>
        <v>19471.589861565801</v>
      </c>
      <c r="ES14" s="80">
        <f t="shared" si="113"/>
        <v>0</v>
      </c>
      <c r="ET14" s="76" t="s">
        <v>8</v>
      </c>
      <c r="EU14" s="30" t="s">
        <v>8</v>
      </c>
      <c r="EV14" s="35">
        <f t="shared" si="114"/>
        <v>0.85360592488517828</v>
      </c>
      <c r="EW14" s="33">
        <f t="shared" si="115"/>
        <v>1.106299904561403E-2</v>
      </c>
      <c r="EX14" s="34">
        <f t="shared" si="116"/>
        <v>19471.589861565801</v>
      </c>
      <c r="EY14" s="80">
        <f t="shared" si="117"/>
        <v>0</v>
      </c>
      <c r="EZ14" s="76" t="s">
        <v>8</v>
      </c>
      <c r="FA14" s="30" t="s">
        <v>8</v>
      </c>
      <c r="FB14" s="35">
        <f t="shared" si="118"/>
        <v>0.85360592488517828</v>
      </c>
      <c r="FC14" s="33">
        <f t="shared" si="119"/>
        <v>1.106299904561403E-2</v>
      </c>
      <c r="FD14" s="34">
        <f t="shared" si="120"/>
        <v>19471.589861565801</v>
      </c>
      <c r="FE14" s="80">
        <f t="shared" si="121"/>
        <v>0</v>
      </c>
      <c r="FF14" s="76" t="s">
        <v>8</v>
      </c>
      <c r="FG14" s="30" t="s">
        <v>8</v>
      </c>
      <c r="FH14" s="35">
        <f t="shared" si="122"/>
        <v>0.85360592488517828</v>
      </c>
      <c r="FI14" s="33">
        <f t="shared" si="123"/>
        <v>1.106299904561403E-2</v>
      </c>
      <c r="FJ14" s="34">
        <f t="shared" si="124"/>
        <v>19471.589861565801</v>
      </c>
      <c r="FK14" s="80">
        <f t="shared" si="125"/>
        <v>0</v>
      </c>
      <c r="FL14" s="76" t="s">
        <v>8</v>
      </c>
      <c r="FM14" s="30" t="s">
        <v>8</v>
      </c>
      <c r="FN14" s="35">
        <f t="shared" si="126"/>
        <v>0.85360592488517828</v>
      </c>
      <c r="FO14" s="33">
        <f t="shared" si="127"/>
        <v>1.106299904561403E-2</v>
      </c>
      <c r="FP14" s="34">
        <f t="shared" si="128"/>
        <v>19471.589861565801</v>
      </c>
      <c r="FQ14" s="80">
        <f t="shared" si="129"/>
        <v>0</v>
      </c>
      <c r="FR14" s="76" t="s">
        <v>8</v>
      </c>
      <c r="FS14" s="30" t="s">
        <v>8</v>
      </c>
      <c r="FT14" s="35">
        <f t="shared" si="130"/>
        <v>0.85360592488517828</v>
      </c>
      <c r="FU14" s="33">
        <f t="shared" si="131"/>
        <v>1.106299904561403E-2</v>
      </c>
      <c r="FV14" s="34">
        <f t="shared" si="132"/>
        <v>19471.589861565801</v>
      </c>
      <c r="FW14" s="80">
        <f t="shared" si="133"/>
        <v>0</v>
      </c>
      <c r="FX14" s="76" t="s">
        <v>8</v>
      </c>
      <c r="FY14" s="30" t="s">
        <v>8</v>
      </c>
      <c r="FZ14" s="35">
        <f t="shared" si="134"/>
        <v>0.85360592488517828</v>
      </c>
      <c r="GA14" s="33">
        <f t="shared" si="135"/>
        <v>1.106299904561403E-2</v>
      </c>
      <c r="GB14" s="34">
        <f t="shared" si="136"/>
        <v>19471.589861565801</v>
      </c>
      <c r="GC14" s="80">
        <f t="shared" si="137"/>
        <v>0</v>
      </c>
      <c r="GD14" s="76" t="s">
        <v>8</v>
      </c>
      <c r="GE14" s="30" t="s">
        <v>8</v>
      </c>
      <c r="GF14" s="35">
        <f t="shared" si="138"/>
        <v>0.85360592488517828</v>
      </c>
      <c r="GG14" s="33">
        <f t="shared" si="139"/>
        <v>1.106299904561403E-2</v>
      </c>
      <c r="GH14" s="34">
        <f t="shared" si="140"/>
        <v>19471.589861565801</v>
      </c>
      <c r="GI14" s="132">
        <f t="shared" si="141"/>
        <v>0</v>
      </c>
      <c r="GJ14" s="168">
        <f t="shared" si="145"/>
        <v>230715.70324967353</v>
      </c>
      <c r="GK14" s="166">
        <f t="shared" si="146"/>
        <v>326013.0053748237</v>
      </c>
      <c r="GL14" s="86">
        <f t="shared" si="142"/>
        <v>0.85360592488517839</v>
      </c>
      <c r="GN14" s="214">
        <v>326013.01</v>
      </c>
    </row>
    <row r="15" spans="1:196" s="25" customFormat="1" ht="16.5" thickBot="1" x14ac:dyDescent="0.3">
      <c r="A15" s="184" t="s">
        <v>179</v>
      </c>
      <c r="B15" s="155" t="s">
        <v>8</v>
      </c>
      <c r="C15" s="155" t="s">
        <v>8</v>
      </c>
      <c r="D15" s="155" t="s">
        <v>8</v>
      </c>
      <c r="E15" s="155" t="s">
        <v>8</v>
      </c>
      <c r="F15" s="155" t="s">
        <v>8</v>
      </c>
      <c r="G15" s="113">
        <f>'Исходные данные 25 г.'!C17</f>
        <v>375</v>
      </c>
      <c r="H15" s="49">
        <f>'Исходные данные 2026 г. '!D17</f>
        <v>256530</v>
      </c>
      <c r="I15" s="32">
        <f>'Расчет КРП'!H13</f>
        <v>4.976362696709395</v>
      </c>
      <c r="J15" s="120" t="s">
        <v>8</v>
      </c>
      <c r="K15" s="124">
        <f t="shared" si="22"/>
        <v>0.21951522248699243</v>
      </c>
      <c r="L15" s="77">
        <f t="shared" si="23"/>
        <v>364658.04384623788</v>
      </c>
      <c r="M15" s="73">
        <f t="shared" si="24"/>
        <v>0.53155666647630495</v>
      </c>
      <c r="N15" s="30" t="s">
        <v>8</v>
      </c>
      <c r="O15" s="33">
        <f t="shared" si="25"/>
        <v>-9.6852705707580422E-2</v>
      </c>
      <c r="P15" s="34">
        <f t="shared" si="143"/>
        <v>0</v>
      </c>
      <c r="Q15" s="80">
        <f t="shared" si="26"/>
        <v>0</v>
      </c>
      <c r="R15" s="160" t="s">
        <v>8</v>
      </c>
      <c r="S15" s="30" t="s">
        <v>8</v>
      </c>
      <c r="T15" s="35">
        <f t="shared" si="27"/>
        <v>0.53155666647630495</v>
      </c>
      <c r="U15" s="33">
        <f t="shared" si="28"/>
        <v>8.983492831150508E-2</v>
      </c>
      <c r="V15" s="53">
        <f t="shared" si="29"/>
        <v>325931.20172141166</v>
      </c>
      <c r="W15" s="80">
        <f t="shared" si="30"/>
        <v>325931.20172141166</v>
      </c>
      <c r="X15" s="76" t="s">
        <v>8</v>
      </c>
      <c r="Y15" s="30" t="s">
        <v>8</v>
      </c>
      <c r="Z15" s="35">
        <f t="shared" si="31"/>
        <v>0.8104591740244611</v>
      </c>
      <c r="AA15" s="33">
        <f t="shared" si="32"/>
        <v>-4.8678849774961064E-2</v>
      </c>
      <c r="AB15" s="53">
        <f t="shared" si="33"/>
        <v>0</v>
      </c>
      <c r="AC15" s="80">
        <f t="shared" si="34"/>
        <v>0</v>
      </c>
      <c r="AD15" s="76" t="s">
        <v>8</v>
      </c>
      <c r="AE15" s="30" t="s">
        <v>8</v>
      </c>
      <c r="AF15" s="35">
        <f t="shared" si="35"/>
        <v>0.8104591740244611</v>
      </c>
      <c r="AG15" s="33">
        <f t="shared" si="36"/>
        <v>5.4209749906331206E-2</v>
      </c>
      <c r="AH15" s="53">
        <f t="shared" si="37"/>
        <v>248959.76750590868</v>
      </c>
      <c r="AI15" s="80">
        <f t="shared" si="38"/>
        <v>0</v>
      </c>
      <c r="AJ15" s="76" t="s">
        <v>8</v>
      </c>
      <c r="AK15" s="30" t="s">
        <v>8</v>
      </c>
      <c r="AL15" s="35">
        <f t="shared" si="39"/>
        <v>0.8104591740244611</v>
      </c>
      <c r="AM15" s="33">
        <f t="shared" si="40"/>
        <v>5.4209749906331206E-2</v>
      </c>
      <c r="AN15" s="53">
        <f t="shared" si="41"/>
        <v>248959.76750590868</v>
      </c>
      <c r="AO15" s="80">
        <f t="shared" si="42"/>
        <v>0</v>
      </c>
      <c r="AP15" s="76" t="s">
        <v>8</v>
      </c>
      <c r="AQ15" s="30" t="s">
        <v>8</v>
      </c>
      <c r="AR15" s="35">
        <f t="shared" si="43"/>
        <v>0.8104591740244611</v>
      </c>
      <c r="AS15" s="33">
        <f t="shared" si="44"/>
        <v>5.4209749906331206E-2</v>
      </c>
      <c r="AT15" s="53">
        <f t="shared" si="45"/>
        <v>248959.76750590868</v>
      </c>
      <c r="AU15" s="80">
        <f t="shared" si="46"/>
        <v>0</v>
      </c>
      <c r="AV15" s="76" t="s">
        <v>8</v>
      </c>
      <c r="AW15" s="30" t="s">
        <v>8</v>
      </c>
      <c r="AX15" s="35">
        <f t="shared" si="47"/>
        <v>0.8104591740244611</v>
      </c>
      <c r="AY15" s="33">
        <f t="shared" si="48"/>
        <v>5.4209749906331206E-2</v>
      </c>
      <c r="AZ15" s="53">
        <f t="shared" si="49"/>
        <v>248959.76750590868</v>
      </c>
      <c r="BA15" s="80">
        <f t="shared" si="50"/>
        <v>0</v>
      </c>
      <c r="BB15" s="76" t="s">
        <v>8</v>
      </c>
      <c r="BC15" s="30" t="s">
        <v>8</v>
      </c>
      <c r="BD15" s="35">
        <f t="shared" si="51"/>
        <v>0.8104591740244611</v>
      </c>
      <c r="BE15" s="33">
        <f t="shared" si="52"/>
        <v>5.4209749906331206E-2</v>
      </c>
      <c r="BF15" s="53">
        <f t="shared" si="53"/>
        <v>248959.76750590868</v>
      </c>
      <c r="BG15" s="80">
        <f t="shared" si="54"/>
        <v>0</v>
      </c>
      <c r="BH15" s="76" t="s">
        <v>8</v>
      </c>
      <c r="BI15" s="30" t="s">
        <v>8</v>
      </c>
      <c r="BJ15" s="35">
        <f t="shared" si="55"/>
        <v>0.8104591740244611</v>
      </c>
      <c r="BK15" s="33">
        <f t="shared" si="56"/>
        <v>5.4209749906331206E-2</v>
      </c>
      <c r="BL15" s="53">
        <f t="shared" si="57"/>
        <v>248959.76750590868</v>
      </c>
      <c r="BM15" s="80">
        <f t="shared" si="58"/>
        <v>0</v>
      </c>
      <c r="BN15" s="76" t="s">
        <v>8</v>
      </c>
      <c r="BO15" s="30" t="s">
        <v>8</v>
      </c>
      <c r="BP15" s="35">
        <f t="shared" si="59"/>
        <v>0.8104591740244611</v>
      </c>
      <c r="BQ15" s="33">
        <f t="shared" si="60"/>
        <v>5.4209749906331206E-2</v>
      </c>
      <c r="BR15" s="53">
        <f t="shared" si="61"/>
        <v>248959.76750590868</v>
      </c>
      <c r="BS15" s="132">
        <f t="shared" si="62"/>
        <v>0</v>
      </c>
      <c r="BT15" s="76" t="s">
        <v>8</v>
      </c>
      <c r="BU15" s="30" t="s">
        <v>8</v>
      </c>
      <c r="BV15" s="35">
        <f t="shared" si="63"/>
        <v>0.8104591740244611</v>
      </c>
      <c r="BW15" s="33">
        <f t="shared" si="64"/>
        <v>5.4209749906331206E-2</v>
      </c>
      <c r="BX15" s="53">
        <f t="shared" si="65"/>
        <v>248959.76750590868</v>
      </c>
      <c r="BY15" s="132">
        <f t="shared" si="66"/>
        <v>0</v>
      </c>
      <c r="BZ15" s="76" t="s">
        <v>8</v>
      </c>
      <c r="CA15" s="30" t="s">
        <v>8</v>
      </c>
      <c r="CB15" s="35">
        <f t="shared" si="67"/>
        <v>0.8104591740244611</v>
      </c>
      <c r="CC15" s="33">
        <f t="shared" si="68"/>
        <v>5.4209749906331206E-2</v>
      </c>
      <c r="CD15" s="53">
        <f t="shared" si="69"/>
        <v>248959.76750590868</v>
      </c>
      <c r="CE15" s="132">
        <f t="shared" si="70"/>
        <v>0</v>
      </c>
      <c r="CF15" s="76" t="s">
        <v>8</v>
      </c>
      <c r="CG15" s="30" t="s">
        <v>8</v>
      </c>
      <c r="CH15" s="35">
        <f t="shared" si="71"/>
        <v>0.8104591740244611</v>
      </c>
      <c r="CI15" s="33">
        <f t="shared" si="72"/>
        <v>5.4209749906331206E-2</v>
      </c>
      <c r="CJ15" s="53">
        <f t="shared" si="73"/>
        <v>248959.76750590868</v>
      </c>
      <c r="CK15" s="132">
        <f t="shared" si="74"/>
        <v>0</v>
      </c>
      <c r="CL15" s="76" t="s">
        <v>8</v>
      </c>
      <c r="CM15" s="30" t="s">
        <v>8</v>
      </c>
      <c r="CN15" s="35">
        <f t="shared" si="75"/>
        <v>0.8104591740244611</v>
      </c>
      <c r="CO15" s="33">
        <f t="shared" si="76"/>
        <v>5.4209749906331206E-2</v>
      </c>
      <c r="CP15" s="53">
        <f t="shared" si="77"/>
        <v>248959.76750590868</v>
      </c>
      <c r="CQ15" s="132">
        <f t="shared" si="78"/>
        <v>0</v>
      </c>
      <c r="CR15" s="76" t="s">
        <v>8</v>
      </c>
      <c r="CS15" s="30" t="s">
        <v>8</v>
      </c>
      <c r="CT15" s="35">
        <f t="shared" si="79"/>
        <v>0.8104591740244611</v>
      </c>
      <c r="CU15" s="33">
        <f t="shared" si="80"/>
        <v>5.4209749906331206E-2</v>
      </c>
      <c r="CV15" s="53">
        <f t="shared" si="81"/>
        <v>248959.76750590868</v>
      </c>
      <c r="CW15" s="132">
        <f t="shared" si="82"/>
        <v>0</v>
      </c>
      <c r="CX15" s="76" t="s">
        <v>8</v>
      </c>
      <c r="CY15" s="30" t="s">
        <v>8</v>
      </c>
      <c r="CZ15" s="35">
        <f t="shared" si="83"/>
        <v>0.8104591740244611</v>
      </c>
      <c r="DA15" s="33">
        <f t="shared" si="84"/>
        <v>5.4209749906331206E-2</v>
      </c>
      <c r="DB15" s="53">
        <f t="shared" si="85"/>
        <v>248959.76750590868</v>
      </c>
      <c r="DC15" s="132">
        <f t="shared" si="86"/>
        <v>0</v>
      </c>
      <c r="DD15" s="76" t="s">
        <v>8</v>
      </c>
      <c r="DE15" s="30" t="s">
        <v>8</v>
      </c>
      <c r="DF15" s="35">
        <f t="shared" si="87"/>
        <v>0.8104591740244611</v>
      </c>
      <c r="DG15" s="33">
        <f t="shared" si="88"/>
        <v>5.4209749906331206E-2</v>
      </c>
      <c r="DH15" s="53">
        <f t="shared" si="89"/>
        <v>248959.76750590868</v>
      </c>
      <c r="DI15" s="132">
        <f t="shared" si="90"/>
        <v>0</v>
      </c>
      <c r="DJ15" s="76" t="s">
        <v>8</v>
      </c>
      <c r="DK15" s="30" t="s">
        <v>8</v>
      </c>
      <c r="DL15" s="35">
        <f t="shared" si="91"/>
        <v>0.8104591740244611</v>
      </c>
      <c r="DM15" s="51">
        <f t="shared" si="92"/>
        <v>5.4209749906331206E-2</v>
      </c>
      <c r="DN15" s="53">
        <f t="shared" si="93"/>
        <v>248959.76750590868</v>
      </c>
      <c r="DO15" s="132">
        <f t="shared" si="94"/>
        <v>0</v>
      </c>
      <c r="DP15" s="76" t="s">
        <v>8</v>
      </c>
      <c r="DQ15" s="30" t="s">
        <v>8</v>
      </c>
      <c r="DR15" s="35">
        <f t="shared" si="95"/>
        <v>0.8104591740244611</v>
      </c>
      <c r="DS15" s="51">
        <f t="shared" si="96"/>
        <v>5.4209749906331206E-2</v>
      </c>
      <c r="DT15" s="53">
        <f t="shared" si="144"/>
        <v>248959.76750590868</v>
      </c>
      <c r="DU15" s="132">
        <f t="shared" si="97"/>
        <v>0</v>
      </c>
      <c r="DV15" s="76" t="s">
        <v>8</v>
      </c>
      <c r="DW15" s="30" t="s">
        <v>8</v>
      </c>
      <c r="DX15" s="35">
        <f t="shared" si="98"/>
        <v>0.8104591740244611</v>
      </c>
      <c r="DY15" s="33">
        <f t="shared" si="99"/>
        <v>5.4209749906331206E-2</v>
      </c>
      <c r="DZ15" s="34">
        <f t="shared" si="100"/>
        <v>248959.76750590868</v>
      </c>
      <c r="EA15" s="80">
        <f t="shared" si="101"/>
        <v>0</v>
      </c>
      <c r="EB15" s="76" t="s">
        <v>8</v>
      </c>
      <c r="EC15" s="30" t="s">
        <v>8</v>
      </c>
      <c r="ED15" s="35">
        <f t="shared" si="102"/>
        <v>0.8104591740244611</v>
      </c>
      <c r="EE15" s="33">
        <f t="shared" si="103"/>
        <v>5.4209749906331206E-2</v>
      </c>
      <c r="EF15" s="34">
        <f t="shared" si="104"/>
        <v>248959.76750590868</v>
      </c>
      <c r="EG15" s="80">
        <f t="shared" si="105"/>
        <v>0</v>
      </c>
      <c r="EH15" s="76" t="s">
        <v>8</v>
      </c>
      <c r="EI15" s="30" t="s">
        <v>8</v>
      </c>
      <c r="EJ15" s="35">
        <f t="shared" si="106"/>
        <v>0.8104591740244611</v>
      </c>
      <c r="EK15" s="33">
        <f t="shared" si="107"/>
        <v>5.4209749906331206E-2</v>
      </c>
      <c r="EL15" s="34">
        <f t="shared" si="108"/>
        <v>248959.76750590868</v>
      </c>
      <c r="EM15" s="80">
        <f t="shared" si="109"/>
        <v>0</v>
      </c>
      <c r="EN15" s="76" t="s">
        <v>8</v>
      </c>
      <c r="EO15" s="30" t="s">
        <v>8</v>
      </c>
      <c r="EP15" s="35">
        <f t="shared" si="110"/>
        <v>0.8104591740244611</v>
      </c>
      <c r="EQ15" s="51">
        <f t="shared" si="111"/>
        <v>5.4209749906331206E-2</v>
      </c>
      <c r="ER15" s="34">
        <f t="shared" si="112"/>
        <v>248959.76750590868</v>
      </c>
      <c r="ES15" s="80">
        <f t="shared" si="113"/>
        <v>0</v>
      </c>
      <c r="ET15" s="76" t="s">
        <v>8</v>
      </c>
      <c r="EU15" s="30" t="s">
        <v>8</v>
      </c>
      <c r="EV15" s="35">
        <f t="shared" si="114"/>
        <v>0.8104591740244611</v>
      </c>
      <c r="EW15" s="33">
        <f t="shared" si="115"/>
        <v>5.4209749906331206E-2</v>
      </c>
      <c r="EX15" s="34">
        <f t="shared" si="116"/>
        <v>248959.76750590868</v>
      </c>
      <c r="EY15" s="80">
        <f t="shared" si="117"/>
        <v>0</v>
      </c>
      <c r="EZ15" s="76" t="s">
        <v>8</v>
      </c>
      <c r="FA15" s="30" t="s">
        <v>8</v>
      </c>
      <c r="FB15" s="35">
        <f t="shared" si="118"/>
        <v>0.8104591740244611</v>
      </c>
      <c r="FC15" s="33">
        <f t="shared" si="119"/>
        <v>5.4209749906331206E-2</v>
      </c>
      <c r="FD15" s="34">
        <f t="shared" si="120"/>
        <v>248959.76750590868</v>
      </c>
      <c r="FE15" s="80">
        <f t="shared" si="121"/>
        <v>0</v>
      </c>
      <c r="FF15" s="76" t="s">
        <v>8</v>
      </c>
      <c r="FG15" s="30" t="s">
        <v>8</v>
      </c>
      <c r="FH15" s="35">
        <f t="shared" si="122"/>
        <v>0.8104591740244611</v>
      </c>
      <c r="FI15" s="33">
        <f t="shared" si="123"/>
        <v>5.4209749906331206E-2</v>
      </c>
      <c r="FJ15" s="34">
        <f t="shared" si="124"/>
        <v>248959.76750590868</v>
      </c>
      <c r="FK15" s="80">
        <f t="shared" si="125"/>
        <v>0</v>
      </c>
      <c r="FL15" s="76" t="s">
        <v>8</v>
      </c>
      <c r="FM15" s="30" t="s">
        <v>8</v>
      </c>
      <c r="FN15" s="35">
        <f t="shared" si="126"/>
        <v>0.8104591740244611</v>
      </c>
      <c r="FO15" s="33">
        <f t="shared" si="127"/>
        <v>5.4209749906331206E-2</v>
      </c>
      <c r="FP15" s="34">
        <f t="shared" si="128"/>
        <v>248959.76750590868</v>
      </c>
      <c r="FQ15" s="80">
        <f t="shared" si="129"/>
        <v>0</v>
      </c>
      <c r="FR15" s="76" t="s">
        <v>8</v>
      </c>
      <c r="FS15" s="30" t="s">
        <v>8</v>
      </c>
      <c r="FT15" s="35">
        <f t="shared" si="130"/>
        <v>0.8104591740244611</v>
      </c>
      <c r="FU15" s="33">
        <f t="shared" si="131"/>
        <v>5.4209749906331206E-2</v>
      </c>
      <c r="FV15" s="34">
        <f t="shared" si="132"/>
        <v>248959.76750590868</v>
      </c>
      <c r="FW15" s="80">
        <f t="shared" si="133"/>
        <v>0</v>
      </c>
      <c r="FX15" s="76" t="s">
        <v>8</v>
      </c>
      <c r="FY15" s="30" t="s">
        <v>8</v>
      </c>
      <c r="FZ15" s="35">
        <f t="shared" si="134"/>
        <v>0.8104591740244611</v>
      </c>
      <c r="GA15" s="33">
        <f t="shared" si="135"/>
        <v>5.4209749906331206E-2</v>
      </c>
      <c r="GB15" s="34">
        <f t="shared" si="136"/>
        <v>248959.76750590868</v>
      </c>
      <c r="GC15" s="80">
        <f t="shared" si="137"/>
        <v>0</v>
      </c>
      <c r="GD15" s="76" t="s">
        <v>8</v>
      </c>
      <c r="GE15" s="30" t="s">
        <v>8</v>
      </c>
      <c r="GF15" s="35">
        <f t="shared" si="138"/>
        <v>0.8104591740244611</v>
      </c>
      <c r="GG15" s="33">
        <f t="shared" si="139"/>
        <v>5.4209749906331206E-2</v>
      </c>
      <c r="GH15" s="34">
        <f t="shared" si="140"/>
        <v>248959.76750590868</v>
      </c>
      <c r="GI15" s="132">
        <f t="shared" si="141"/>
        <v>0</v>
      </c>
      <c r="GJ15" s="168">
        <f t="shared" si="145"/>
        <v>325931.20172141166</v>
      </c>
      <c r="GK15" s="166">
        <f t="shared" si="146"/>
        <v>690589.2455676496</v>
      </c>
      <c r="GL15" s="86">
        <f t="shared" si="142"/>
        <v>0.8104591740244611</v>
      </c>
      <c r="GN15" s="214">
        <v>690589.245</v>
      </c>
    </row>
    <row r="16" spans="1:196" s="25" customFormat="1" ht="16.5" thickBot="1" x14ac:dyDescent="0.3">
      <c r="A16" s="184" t="s">
        <v>180</v>
      </c>
      <c r="B16" s="155" t="s">
        <v>8</v>
      </c>
      <c r="C16" s="155" t="s">
        <v>8</v>
      </c>
      <c r="D16" s="155" t="s">
        <v>8</v>
      </c>
      <c r="E16" s="155" t="s">
        <v>8</v>
      </c>
      <c r="F16" s="155" t="s">
        <v>8</v>
      </c>
      <c r="G16" s="113">
        <f>'Исходные данные 25 г.'!C18</f>
        <v>279</v>
      </c>
      <c r="H16" s="49">
        <f>'Исходные данные 2026 г. '!D18</f>
        <v>134070</v>
      </c>
      <c r="I16" s="32">
        <f>'Расчет КРП'!H14</f>
        <v>7.7157631684014945</v>
      </c>
      <c r="J16" s="120" t="s">
        <v>8</v>
      </c>
      <c r="K16" s="124">
        <f t="shared" si="22"/>
        <v>9.9453092492075013E-2</v>
      </c>
      <c r="L16" s="77">
        <f t="shared" si="23"/>
        <v>271305.58462160098</v>
      </c>
      <c r="M16" s="73">
        <f t="shared" si="24"/>
        <v>0.30070750735735857</v>
      </c>
      <c r="N16" s="30" t="s">
        <v>8</v>
      </c>
      <c r="O16" s="33">
        <f t="shared" si="25"/>
        <v>0.13399645341136596</v>
      </c>
      <c r="P16" s="34">
        <f t="shared" si="143"/>
        <v>461135.7094033304</v>
      </c>
      <c r="Q16" s="80">
        <f t="shared" si="26"/>
        <v>461135.7094033304</v>
      </c>
      <c r="R16" s="160" t="s">
        <v>8</v>
      </c>
      <c r="S16" s="30" t="s">
        <v>8</v>
      </c>
      <c r="T16" s="35">
        <f t="shared" si="27"/>
        <v>0.64277786134175507</v>
      </c>
      <c r="U16" s="33">
        <f t="shared" si="28"/>
        <v>-2.1386266553945044E-2</v>
      </c>
      <c r="V16" s="53">
        <f t="shared" si="29"/>
        <v>0</v>
      </c>
      <c r="W16" s="80">
        <f t="shared" si="30"/>
        <v>0</v>
      </c>
      <c r="X16" s="76" t="s">
        <v>8</v>
      </c>
      <c r="Y16" s="30" t="s">
        <v>8</v>
      </c>
      <c r="Z16" s="35">
        <f t="shared" si="31"/>
        <v>0.64277786134175507</v>
      </c>
      <c r="AA16" s="33">
        <f t="shared" si="32"/>
        <v>0.11900246290774497</v>
      </c>
      <c r="AB16" s="53">
        <f t="shared" si="33"/>
        <v>587986.23248855933</v>
      </c>
      <c r="AC16" s="80">
        <f t="shared" si="34"/>
        <v>397997.61873387243</v>
      </c>
      <c r="AD16" s="76" t="s">
        <v>8</v>
      </c>
      <c r="AE16" s="30" t="s">
        <v>8</v>
      </c>
      <c r="AF16" s="35">
        <f t="shared" si="35"/>
        <v>0.93801239544756132</v>
      </c>
      <c r="AG16" s="33">
        <f t="shared" si="36"/>
        <v>-7.334347151676901E-2</v>
      </c>
      <c r="AH16" s="53">
        <f t="shared" si="37"/>
        <v>0</v>
      </c>
      <c r="AI16" s="80">
        <f t="shared" si="38"/>
        <v>0</v>
      </c>
      <c r="AJ16" s="76" t="s">
        <v>8</v>
      </c>
      <c r="AK16" s="30" t="s">
        <v>8</v>
      </c>
      <c r="AL16" s="35">
        <f t="shared" si="39"/>
        <v>0.93801239544756132</v>
      </c>
      <c r="AM16" s="33">
        <f t="shared" si="40"/>
        <v>-7.334347151676901E-2</v>
      </c>
      <c r="AN16" s="53">
        <f t="shared" si="41"/>
        <v>0</v>
      </c>
      <c r="AO16" s="80">
        <f t="shared" si="42"/>
        <v>0</v>
      </c>
      <c r="AP16" s="76" t="s">
        <v>8</v>
      </c>
      <c r="AQ16" s="30" t="s">
        <v>8</v>
      </c>
      <c r="AR16" s="35">
        <f t="shared" si="43"/>
        <v>0.93801239544756132</v>
      </c>
      <c r="AS16" s="33">
        <f t="shared" si="44"/>
        <v>-7.334347151676901E-2</v>
      </c>
      <c r="AT16" s="53">
        <f t="shared" si="45"/>
        <v>0</v>
      </c>
      <c r="AU16" s="80">
        <f t="shared" si="46"/>
        <v>0</v>
      </c>
      <c r="AV16" s="76" t="s">
        <v>8</v>
      </c>
      <c r="AW16" s="30" t="s">
        <v>8</v>
      </c>
      <c r="AX16" s="35">
        <f t="shared" si="47"/>
        <v>0.93801239544756132</v>
      </c>
      <c r="AY16" s="33">
        <f t="shared" si="48"/>
        <v>-7.334347151676901E-2</v>
      </c>
      <c r="AZ16" s="53">
        <f t="shared" si="49"/>
        <v>0</v>
      </c>
      <c r="BA16" s="80">
        <f t="shared" si="50"/>
        <v>0</v>
      </c>
      <c r="BB16" s="76" t="s">
        <v>8</v>
      </c>
      <c r="BC16" s="30" t="s">
        <v>8</v>
      </c>
      <c r="BD16" s="35">
        <f t="shared" si="51"/>
        <v>0.93801239544756132</v>
      </c>
      <c r="BE16" s="33">
        <f t="shared" si="52"/>
        <v>-7.334347151676901E-2</v>
      </c>
      <c r="BF16" s="53">
        <f t="shared" si="53"/>
        <v>0</v>
      </c>
      <c r="BG16" s="80">
        <f t="shared" si="54"/>
        <v>0</v>
      </c>
      <c r="BH16" s="76" t="s">
        <v>8</v>
      </c>
      <c r="BI16" s="30" t="s">
        <v>8</v>
      </c>
      <c r="BJ16" s="35">
        <f t="shared" si="55"/>
        <v>0.93801239544756132</v>
      </c>
      <c r="BK16" s="33">
        <f t="shared" si="56"/>
        <v>-7.334347151676901E-2</v>
      </c>
      <c r="BL16" s="53">
        <f t="shared" si="57"/>
        <v>0</v>
      </c>
      <c r="BM16" s="80">
        <f t="shared" si="58"/>
        <v>0</v>
      </c>
      <c r="BN16" s="76" t="s">
        <v>8</v>
      </c>
      <c r="BO16" s="30" t="s">
        <v>8</v>
      </c>
      <c r="BP16" s="35">
        <f t="shared" si="59"/>
        <v>0.93801239544756132</v>
      </c>
      <c r="BQ16" s="33">
        <f t="shared" si="60"/>
        <v>-7.334347151676901E-2</v>
      </c>
      <c r="BR16" s="53">
        <f t="shared" si="61"/>
        <v>0</v>
      </c>
      <c r="BS16" s="132">
        <f t="shared" si="62"/>
        <v>0</v>
      </c>
      <c r="BT16" s="76" t="s">
        <v>8</v>
      </c>
      <c r="BU16" s="30" t="s">
        <v>8</v>
      </c>
      <c r="BV16" s="35">
        <f t="shared" si="63"/>
        <v>0.93801239544756132</v>
      </c>
      <c r="BW16" s="33">
        <f t="shared" si="64"/>
        <v>-7.334347151676901E-2</v>
      </c>
      <c r="BX16" s="53">
        <f t="shared" si="65"/>
        <v>0</v>
      </c>
      <c r="BY16" s="132">
        <f t="shared" si="66"/>
        <v>0</v>
      </c>
      <c r="BZ16" s="76" t="s">
        <v>8</v>
      </c>
      <c r="CA16" s="30" t="s">
        <v>8</v>
      </c>
      <c r="CB16" s="35">
        <f t="shared" si="67"/>
        <v>0.93801239544756132</v>
      </c>
      <c r="CC16" s="33">
        <f t="shared" si="68"/>
        <v>-7.334347151676901E-2</v>
      </c>
      <c r="CD16" s="53">
        <f t="shared" si="69"/>
        <v>0</v>
      </c>
      <c r="CE16" s="132">
        <f t="shared" si="70"/>
        <v>0</v>
      </c>
      <c r="CF16" s="76" t="s">
        <v>8</v>
      </c>
      <c r="CG16" s="30" t="s">
        <v>8</v>
      </c>
      <c r="CH16" s="35">
        <f t="shared" si="71"/>
        <v>0.93801239544756132</v>
      </c>
      <c r="CI16" s="33">
        <f t="shared" si="72"/>
        <v>-7.334347151676901E-2</v>
      </c>
      <c r="CJ16" s="53">
        <f t="shared" si="73"/>
        <v>0</v>
      </c>
      <c r="CK16" s="132">
        <f t="shared" si="74"/>
        <v>0</v>
      </c>
      <c r="CL16" s="76" t="s">
        <v>8</v>
      </c>
      <c r="CM16" s="30" t="s">
        <v>8</v>
      </c>
      <c r="CN16" s="35">
        <f t="shared" si="75"/>
        <v>0.93801239544756132</v>
      </c>
      <c r="CO16" s="33">
        <f t="shared" si="76"/>
        <v>-7.334347151676901E-2</v>
      </c>
      <c r="CP16" s="53">
        <f t="shared" si="77"/>
        <v>0</v>
      </c>
      <c r="CQ16" s="132">
        <f t="shared" si="78"/>
        <v>0</v>
      </c>
      <c r="CR16" s="76" t="s">
        <v>8</v>
      </c>
      <c r="CS16" s="30" t="s">
        <v>8</v>
      </c>
      <c r="CT16" s="35">
        <f t="shared" si="79"/>
        <v>0.93801239544756132</v>
      </c>
      <c r="CU16" s="33">
        <f t="shared" si="80"/>
        <v>-7.334347151676901E-2</v>
      </c>
      <c r="CV16" s="53">
        <f t="shared" si="81"/>
        <v>0</v>
      </c>
      <c r="CW16" s="132">
        <f t="shared" si="82"/>
        <v>0</v>
      </c>
      <c r="CX16" s="76" t="s">
        <v>8</v>
      </c>
      <c r="CY16" s="30" t="s">
        <v>8</v>
      </c>
      <c r="CZ16" s="35">
        <f t="shared" si="83"/>
        <v>0.93801239544756132</v>
      </c>
      <c r="DA16" s="33">
        <f t="shared" si="84"/>
        <v>-7.334347151676901E-2</v>
      </c>
      <c r="DB16" s="53">
        <f t="shared" si="85"/>
        <v>0</v>
      </c>
      <c r="DC16" s="132">
        <f t="shared" si="86"/>
        <v>0</v>
      </c>
      <c r="DD16" s="76" t="s">
        <v>8</v>
      </c>
      <c r="DE16" s="30" t="s">
        <v>8</v>
      </c>
      <c r="DF16" s="35">
        <f t="shared" si="87"/>
        <v>0.93801239544756132</v>
      </c>
      <c r="DG16" s="33">
        <f t="shared" si="88"/>
        <v>-7.334347151676901E-2</v>
      </c>
      <c r="DH16" s="53">
        <f t="shared" si="89"/>
        <v>0</v>
      </c>
      <c r="DI16" s="132">
        <f t="shared" si="90"/>
        <v>0</v>
      </c>
      <c r="DJ16" s="76" t="s">
        <v>8</v>
      </c>
      <c r="DK16" s="30" t="s">
        <v>8</v>
      </c>
      <c r="DL16" s="35">
        <f t="shared" si="91"/>
        <v>0.93801239544756132</v>
      </c>
      <c r="DM16" s="51">
        <f t="shared" si="92"/>
        <v>-7.334347151676901E-2</v>
      </c>
      <c r="DN16" s="53">
        <f t="shared" si="93"/>
        <v>0</v>
      </c>
      <c r="DO16" s="132">
        <f t="shared" si="94"/>
        <v>0</v>
      </c>
      <c r="DP16" s="76" t="s">
        <v>8</v>
      </c>
      <c r="DQ16" s="30" t="s">
        <v>8</v>
      </c>
      <c r="DR16" s="35">
        <f t="shared" si="95"/>
        <v>0.93801239544756132</v>
      </c>
      <c r="DS16" s="51">
        <f t="shared" si="96"/>
        <v>-7.334347151676901E-2</v>
      </c>
      <c r="DT16" s="53">
        <f t="shared" si="144"/>
        <v>0</v>
      </c>
      <c r="DU16" s="132">
        <f t="shared" si="97"/>
        <v>0</v>
      </c>
      <c r="DV16" s="76" t="s">
        <v>8</v>
      </c>
      <c r="DW16" s="30" t="s">
        <v>8</v>
      </c>
      <c r="DX16" s="35">
        <f t="shared" si="98"/>
        <v>0.93801239544756132</v>
      </c>
      <c r="DY16" s="33">
        <f t="shared" si="99"/>
        <v>-7.334347151676901E-2</v>
      </c>
      <c r="DZ16" s="34">
        <f t="shared" si="100"/>
        <v>0</v>
      </c>
      <c r="EA16" s="80">
        <f t="shared" si="101"/>
        <v>0</v>
      </c>
      <c r="EB16" s="76" t="s">
        <v>8</v>
      </c>
      <c r="EC16" s="30" t="s">
        <v>8</v>
      </c>
      <c r="ED16" s="35">
        <f t="shared" si="102"/>
        <v>0.93801239544756132</v>
      </c>
      <c r="EE16" s="33">
        <f t="shared" si="103"/>
        <v>-7.334347151676901E-2</v>
      </c>
      <c r="EF16" s="34">
        <f t="shared" si="104"/>
        <v>0</v>
      </c>
      <c r="EG16" s="80">
        <f t="shared" si="105"/>
        <v>0</v>
      </c>
      <c r="EH16" s="76" t="s">
        <v>8</v>
      </c>
      <c r="EI16" s="30" t="s">
        <v>8</v>
      </c>
      <c r="EJ16" s="35">
        <f t="shared" si="106"/>
        <v>0.93801239544756132</v>
      </c>
      <c r="EK16" s="33">
        <f t="shared" si="107"/>
        <v>-7.334347151676901E-2</v>
      </c>
      <c r="EL16" s="34">
        <f t="shared" si="108"/>
        <v>0</v>
      </c>
      <c r="EM16" s="80">
        <f t="shared" si="109"/>
        <v>0</v>
      </c>
      <c r="EN16" s="76" t="s">
        <v>8</v>
      </c>
      <c r="EO16" s="30" t="s">
        <v>8</v>
      </c>
      <c r="EP16" s="35">
        <f t="shared" si="110"/>
        <v>0.93801239544756132</v>
      </c>
      <c r="EQ16" s="51">
        <f t="shared" si="111"/>
        <v>-7.334347151676901E-2</v>
      </c>
      <c r="ER16" s="34">
        <f t="shared" si="112"/>
        <v>0</v>
      </c>
      <c r="ES16" s="80">
        <f t="shared" si="113"/>
        <v>0</v>
      </c>
      <c r="ET16" s="76" t="s">
        <v>8</v>
      </c>
      <c r="EU16" s="30" t="s">
        <v>8</v>
      </c>
      <c r="EV16" s="35">
        <f t="shared" si="114"/>
        <v>0.93801239544756132</v>
      </c>
      <c r="EW16" s="33">
        <f t="shared" si="115"/>
        <v>-7.334347151676901E-2</v>
      </c>
      <c r="EX16" s="34">
        <f t="shared" si="116"/>
        <v>0</v>
      </c>
      <c r="EY16" s="80">
        <f t="shared" si="117"/>
        <v>0</v>
      </c>
      <c r="EZ16" s="76" t="s">
        <v>8</v>
      </c>
      <c r="FA16" s="30" t="s">
        <v>8</v>
      </c>
      <c r="FB16" s="35">
        <f t="shared" si="118"/>
        <v>0.93801239544756132</v>
      </c>
      <c r="FC16" s="33">
        <f t="shared" si="119"/>
        <v>-7.334347151676901E-2</v>
      </c>
      <c r="FD16" s="34">
        <f t="shared" si="120"/>
        <v>0</v>
      </c>
      <c r="FE16" s="80">
        <f t="shared" si="121"/>
        <v>0</v>
      </c>
      <c r="FF16" s="76" t="s">
        <v>8</v>
      </c>
      <c r="FG16" s="30" t="s">
        <v>8</v>
      </c>
      <c r="FH16" s="35">
        <f t="shared" si="122"/>
        <v>0.93801239544756132</v>
      </c>
      <c r="FI16" s="33">
        <f t="shared" si="123"/>
        <v>-7.334347151676901E-2</v>
      </c>
      <c r="FJ16" s="34">
        <f t="shared" si="124"/>
        <v>0</v>
      </c>
      <c r="FK16" s="80">
        <f t="shared" si="125"/>
        <v>0</v>
      </c>
      <c r="FL16" s="76" t="s">
        <v>8</v>
      </c>
      <c r="FM16" s="30" t="s">
        <v>8</v>
      </c>
      <c r="FN16" s="35">
        <f t="shared" si="126"/>
        <v>0.93801239544756132</v>
      </c>
      <c r="FO16" s="33">
        <f t="shared" si="127"/>
        <v>-7.334347151676901E-2</v>
      </c>
      <c r="FP16" s="34">
        <f t="shared" si="128"/>
        <v>0</v>
      </c>
      <c r="FQ16" s="80">
        <f t="shared" si="129"/>
        <v>0</v>
      </c>
      <c r="FR16" s="76" t="s">
        <v>8</v>
      </c>
      <c r="FS16" s="30" t="s">
        <v>8</v>
      </c>
      <c r="FT16" s="35">
        <f t="shared" si="130"/>
        <v>0.93801239544756132</v>
      </c>
      <c r="FU16" s="33">
        <f t="shared" si="131"/>
        <v>-7.334347151676901E-2</v>
      </c>
      <c r="FV16" s="34">
        <f t="shared" si="132"/>
        <v>0</v>
      </c>
      <c r="FW16" s="80">
        <f t="shared" si="133"/>
        <v>0</v>
      </c>
      <c r="FX16" s="76" t="s">
        <v>8</v>
      </c>
      <c r="FY16" s="30" t="s">
        <v>8</v>
      </c>
      <c r="FZ16" s="35">
        <f t="shared" si="134"/>
        <v>0.93801239544756132</v>
      </c>
      <c r="GA16" s="33">
        <f t="shared" si="135"/>
        <v>-7.334347151676901E-2</v>
      </c>
      <c r="GB16" s="34">
        <f t="shared" si="136"/>
        <v>0</v>
      </c>
      <c r="GC16" s="80">
        <f t="shared" si="137"/>
        <v>0</v>
      </c>
      <c r="GD16" s="76" t="s">
        <v>8</v>
      </c>
      <c r="GE16" s="30" t="s">
        <v>8</v>
      </c>
      <c r="GF16" s="35">
        <f t="shared" si="138"/>
        <v>0.93801239544756132</v>
      </c>
      <c r="GG16" s="33">
        <f t="shared" si="139"/>
        <v>-7.334347151676901E-2</v>
      </c>
      <c r="GH16" s="34">
        <f t="shared" si="140"/>
        <v>0</v>
      </c>
      <c r="GI16" s="132">
        <f t="shared" si="141"/>
        <v>0</v>
      </c>
      <c r="GJ16" s="168">
        <f t="shared" si="145"/>
        <v>859133.32813720289</v>
      </c>
      <c r="GK16" s="166">
        <f t="shared" si="146"/>
        <v>1130438.9127588039</v>
      </c>
      <c r="GL16" s="86">
        <f t="shared" si="142"/>
        <v>0.93801239544756121</v>
      </c>
      <c r="GN16" s="214">
        <v>1130438.9099999999</v>
      </c>
    </row>
    <row r="17" spans="1:196" s="25" customFormat="1" ht="16.5" thickBot="1" x14ac:dyDescent="0.3">
      <c r="A17" s="184" t="s">
        <v>181</v>
      </c>
      <c r="B17" s="155" t="s">
        <v>8</v>
      </c>
      <c r="C17" s="155" t="s">
        <v>8</v>
      </c>
      <c r="D17" s="155" t="s">
        <v>8</v>
      </c>
      <c r="E17" s="155" t="s">
        <v>8</v>
      </c>
      <c r="F17" s="155" t="s">
        <v>8</v>
      </c>
      <c r="G17" s="113">
        <f>'Исходные данные 25 г.'!C19</f>
        <v>671</v>
      </c>
      <c r="H17" s="49">
        <f>'Исходные данные 2026 г. '!D19</f>
        <v>197460</v>
      </c>
      <c r="I17" s="32">
        <f>'Расчет КРП'!H15</f>
        <v>5.1770695473284416</v>
      </c>
      <c r="J17" s="120" t="s">
        <v>8</v>
      </c>
      <c r="K17" s="124">
        <f t="shared" si="22"/>
        <v>9.0770010975166085E-2</v>
      </c>
      <c r="L17" s="77">
        <f t="shared" si="23"/>
        <v>652494.79312220169</v>
      </c>
      <c r="M17" s="73">
        <f t="shared" si="24"/>
        <v>0.39071409855209788</v>
      </c>
      <c r="N17" s="30" t="s">
        <v>8</v>
      </c>
      <c r="O17" s="33">
        <f t="shared" si="25"/>
        <v>4.3989862216626652E-2</v>
      </c>
      <c r="P17" s="34">
        <f t="shared" si="143"/>
        <v>244293.2570374971</v>
      </c>
      <c r="Q17" s="80">
        <f t="shared" si="26"/>
        <v>244293.2570374971</v>
      </c>
      <c r="R17" s="160" t="s">
        <v>8</v>
      </c>
      <c r="S17" s="30" t="s">
        <v>8</v>
      </c>
      <c r="T17" s="35">
        <f t="shared" si="27"/>
        <v>0.50301280017497185</v>
      </c>
      <c r="U17" s="33">
        <f t="shared" si="28"/>
        <v>0.11837879461283818</v>
      </c>
      <c r="V17" s="53">
        <f t="shared" si="29"/>
        <v>799498.8650112967</v>
      </c>
      <c r="W17" s="80">
        <f t="shared" si="30"/>
        <v>799498.8650112967</v>
      </c>
      <c r="X17" s="76" t="s">
        <v>8</v>
      </c>
      <c r="Y17" s="30" t="s">
        <v>8</v>
      </c>
      <c r="Z17" s="35">
        <f t="shared" si="31"/>
        <v>0.87053290931965033</v>
      </c>
      <c r="AA17" s="33">
        <f t="shared" si="32"/>
        <v>-0.10875258507015029</v>
      </c>
      <c r="AB17" s="53">
        <f t="shared" si="33"/>
        <v>0</v>
      </c>
      <c r="AC17" s="80">
        <f t="shared" si="34"/>
        <v>0</v>
      </c>
      <c r="AD17" s="76" t="s">
        <v>8</v>
      </c>
      <c r="AE17" s="30" t="s">
        <v>8</v>
      </c>
      <c r="AF17" s="35">
        <f t="shared" si="35"/>
        <v>0.87053290931965033</v>
      </c>
      <c r="AG17" s="33">
        <f t="shared" si="36"/>
        <v>-5.8639853888580173E-3</v>
      </c>
      <c r="AH17" s="53">
        <f t="shared" si="37"/>
        <v>0</v>
      </c>
      <c r="AI17" s="80">
        <f t="shared" si="38"/>
        <v>0</v>
      </c>
      <c r="AJ17" s="76" t="s">
        <v>8</v>
      </c>
      <c r="AK17" s="30" t="s">
        <v>8</v>
      </c>
      <c r="AL17" s="35">
        <f t="shared" si="39"/>
        <v>0.87053290931965033</v>
      </c>
      <c r="AM17" s="33">
        <f t="shared" si="40"/>
        <v>-5.8639853888580173E-3</v>
      </c>
      <c r="AN17" s="53">
        <f t="shared" si="41"/>
        <v>0</v>
      </c>
      <c r="AO17" s="80">
        <f t="shared" si="42"/>
        <v>0</v>
      </c>
      <c r="AP17" s="76" t="s">
        <v>8</v>
      </c>
      <c r="AQ17" s="30" t="s">
        <v>8</v>
      </c>
      <c r="AR17" s="35">
        <f t="shared" si="43"/>
        <v>0.87053290931965033</v>
      </c>
      <c r="AS17" s="33">
        <f t="shared" si="44"/>
        <v>-5.8639853888580173E-3</v>
      </c>
      <c r="AT17" s="53">
        <f t="shared" si="45"/>
        <v>0</v>
      </c>
      <c r="AU17" s="80">
        <f t="shared" si="46"/>
        <v>0</v>
      </c>
      <c r="AV17" s="76" t="s">
        <v>8</v>
      </c>
      <c r="AW17" s="30" t="s">
        <v>8</v>
      </c>
      <c r="AX17" s="35">
        <f t="shared" si="47"/>
        <v>0.87053290931965033</v>
      </c>
      <c r="AY17" s="33">
        <f t="shared" si="48"/>
        <v>-5.8639853888580173E-3</v>
      </c>
      <c r="AZ17" s="53">
        <f t="shared" si="49"/>
        <v>0</v>
      </c>
      <c r="BA17" s="80">
        <f t="shared" si="50"/>
        <v>0</v>
      </c>
      <c r="BB17" s="76" t="s">
        <v>8</v>
      </c>
      <c r="BC17" s="30" t="s">
        <v>8</v>
      </c>
      <c r="BD17" s="35">
        <f t="shared" si="51"/>
        <v>0.87053290931965033</v>
      </c>
      <c r="BE17" s="33">
        <f t="shared" si="52"/>
        <v>-5.8639853888580173E-3</v>
      </c>
      <c r="BF17" s="53">
        <f t="shared" si="53"/>
        <v>0</v>
      </c>
      <c r="BG17" s="80">
        <f t="shared" si="54"/>
        <v>0</v>
      </c>
      <c r="BH17" s="76" t="s">
        <v>8</v>
      </c>
      <c r="BI17" s="30" t="s">
        <v>8</v>
      </c>
      <c r="BJ17" s="35">
        <f t="shared" si="55"/>
        <v>0.87053290931965033</v>
      </c>
      <c r="BK17" s="33">
        <f t="shared" si="56"/>
        <v>-5.8639853888580173E-3</v>
      </c>
      <c r="BL17" s="53">
        <f t="shared" si="57"/>
        <v>0</v>
      </c>
      <c r="BM17" s="80">
        <f t="shared" si="58"/>
        <v>0</v>
      </c>
      <c r="BN17" s="76" t="s">
        <v>8</v>
      </c>
      <c r="BO17" s="30" t="s">
        <v>8</v>
      </c>
      <c r="BP17" s="35">
        <f t="shared" si="59"/>
        <v>0.87053290931965033</v>
      </c>
      <c r="BQ17" s="33">
        <f t="shared" si="60"/>
        <v>-5.8639853888580173E-3</v>
      </c>
      <c r="BR17" s="53">
        <f t="shared" si="61"/>
        <v>0</v>
      </c>
      <c r="BS17" s="132">
        <f t="shared" si="62"/>
        <v>0</v>
      </c>
      <c r="BT17" s="76" t="s">
        <v>8</v>
      </c>
      <c r="BU17" s="30" t="s">
        <v>8</v>
      </c>
      <c r="BV17" s="35">
        <f t="shared" si="63"/>
        <v>0.87053290931965033</v>
      </c>
      <c r="BW17" s="33">
        <f t="shared" si="64"/>
        <v>-5.8639853888580173E-3</v>
      </c>
      <c r="BX17" s="53">
        <f t="shared" si="65"/>
        <v>0</v>
      </c>
      <c r="BY17" s="132">
        <f t="shared" si="66"/>
        <v>0</v>
      </c>
      <c r="BZ17" s="76" t="s">
        <v>8</v>
      </c>
      <c r="CA17" s="30" t="s">
        <v>8</v>
      </c>
      <c r="CB17" s="35">
        <f t="shared" si="67"/>
        <v>0.87053290931965033</v>
      </c>
      <c r="CC17" s="33">
        <f t="shared" si="68"/>
        <v>-5.8639853888580173E-3</v>
      </c>
      <c r="CD17" s="53">
        <f t="shared" si="69"/>
        <v>0</v>
      </c>
      <c r="CE17" s="132">
        <f t="shared" si="70"/>
        <v>0</v>
      </c>
      <c r="CF17" s="76" t="s">
        <v>8</v>
      </c>
      <c r="CG17" s="30" t="s">
        <v>8</v>
      </c>
      <c r="CH17" s="35">
        <f t="shared" si="71"/>
        <v>0.87053290931965033</v>
      </c>
      <c r="CI17" s="33">
        <f t="shared" si="72"/>
        <v>-5.8639853888580173E-3</v>
      </c>
      <c r="CJ17" s="53">
        <f t="shared" si="73"/>
        <v>0</v>
      </c>
      <c r="CK17" s="132">
        <f t="shared" si="74"/>
        <v>0</v>
      </c>
      <c r="CL17" s="76" t="s">
        <v>8</v>
      </c>
      <c r="CM17" s="30" t="s">
        <v>8</v>
      </c>
      <c r="CN17" s="35">
        <f t="shared" si="75"/>
        <v>0.87053290931965033</v>
      </c>
      <c r="CO17" s="33">
        <f t="shared" si="76"/>
        <v>-5.8639853888580173E-3</v>
      </c>
      <c r="CP17" s="53">
        <f t="shared" si="77"/>
        <v>0</v>
      </c>
      <c r="CQ17" s="132">
        <f t="shared" si="78"/>
        <v>0</v>
      </c>
      <c r="CR17" s="76" t="s">
        <v>8</v>
      </c>
      <c r="CS17" s="30" t="s">
        <v>8</v>
      </c>
      <c r="CT17" s="35">
        <f t="shared" si="79"/>
        <v>0.87053290931965033</v>
      </c>
      <c r="CU17" s="33">
        <f t="shared" si="80"/>
        <v>-5.8639853888580173E-3</v>
      </c>
      <c r="CV17" s="53">
        <f t="shared" si="81"/>
        <v>0</v>
      </c>
      <c r="CW17" s="132">
        <f t="shared" si="82"/>
        <v>0</v>
      </c>
      <c r="CX17" s="76" t="s">
        <v>8</v>
      </c>
      <c r="CY17" s="30" t="s">
        <v>8</v>
      </c>
      <c r="CZ17" s="35">
        <f t="shared" si="83"/>
        <v>0.87053290931965033</v>
      </c>
      <c r="DA17" s="33">
        <f t="shared" si="84"/>
        <v>-5.8639853888580173E-3</v>
      </c>
      <c r="DB17" s="53">
        <f t="shared" si="85"/>
        <v>0</v>
      </c>
      <c r="DC17" s="132">
        <f t="shared" si="86"/>
        <v>0</v>
      </c>
      <c r="DD17" s="76" t="s">
        <v>8</v>
      </c>
      <c r="DE17" s="30" t="s">
        <v>8</v>
      </c>
      <c r="DF17" s="35">
        <f t="shared" si="87"/>
        <v>0.87053290931965033</v>
      </c>
      <c r="DG17" s="33">
        <f t="shared" si="88"/>
        <v>-5.8639853888580173E-3</v>
      </c>
      <c r="DH17" s="53">
        <f t="shared" si="89"/>
        <v>0</v>
      </c>
      <c r="DI17" s="132">
        <f t="shared" si="90"/>
        <v>0</v>
      </c>
      <c r="DJ17" s="76" t="s">
        <v>8</v>
      </c>
      <c r="DK17" s="30" t="s">
        <v>8</v>
      </c>
      <c r="DL17" s="35">
        <f t="shared" si="91"/>
        <v>0.87053290931965033</v>
      </c>
      <c r="DM17" s="51">
        <f t="shared" si="92"/>
        <v>-5.8639853888580173E-3</v>
      </c>
      <c r="DN17" s="53">
        <f t="shared" si="93"/>
        <v>0</v>
      </c>
      <c r="DO17" s="132">
        <f t="shared" si="94"/>
        <v>0</v>
      </c>
      <c r="DP17" s="76" t="s">
        <v>8</v>
      </c>
      <c r="DQ17" s="30" t="s">
        <v>8</v>
      </c>
      <c r="DR17" s="35">
        <f t="shared" si="95"/>
        <v>0.87053290931965033</v>
      </c>
      <c r="DS17" s="51">
        <f t="shared" si="96"/>
        <v>-5.8639853888580173E-3</v>
      </c>
      <c r="DT17" s="53">
        <f t="shared" si="144"/>
        <v>0</v>
      </c>
      <c r="DU17" s="132">
        <f t="shared" si="97"/>
        <v>0</v>
      </c>
      <c r="DV17" s="76" t="s">
        <v>8</v>
      </c>
      <c r="DW17" s="30" t="s">
        <v>8</v>
      </c>
      <c r="DX17" s="35">
        <f t="shared" si="98"/>
        <v>0.87053290931965033</v>
      </c>
      <c r="DY17" s="33">
        <f t="shared" si="99"/>
        <v>-5.8639853888580173E-3</v>
      </c>
      <c r="DZ17" s="34">
        <f t="shared" si="100"/>
        <v>0</v>
      </c>
      <c r="EA17" s="80">
        <f t="shared" si="101"/>
        <v>0</v>
      </c>
      <c r="EB17" s="76" t="s">
        <v>8</v>
      </c>
      <c r="EC17" s="30" t="s">
        <v>8</v>
      </c>
      <c r="ED17" s="35">
        <f t="shared" si="102"/>
        <v>0.87053290931965033</v>
      </c>
      <c r="EE17" s="33">
        <f t="shared" si="103"/>
        <v>-5.8639853888580173E-3</v>
      </c>
      <c r="EF17" s="34">
        <f t="shared" si="104"/>
        <v>0</v>
      </c>
      <c r="EG17" s="80">
        <f t="shared" si="105"/>
        <v>0</v>
      </c>
      <c r="EH17" s="76" t="s">
        <v>8</v>
      </c>
      <c r="EI17" s="30" t="s">
        <v>8</v>
      </c>
      <c r="EJ17" s="35">
        <f t="shared" si="106"/>
        <v>0.87053290931965033</v>
      </c>
      <c r="EK17" s="33">
        <f t="shared" si="107"/>
        <v>-5.8639853888580173E-3</v>
      </c>
      <c r="EL17" s="34">
        <f t="shared" si="108"/>
        <v>0</v>
      </c>
      <c r="EM17" s="80">
        <f t="shared" si="109"/>
        <v>0</v>
      </c>
      <c r="EN17" s="76" t="s">
        <v>8</v>
      </c>
      <c r="EO17" s="30" t="s">
        <v>8</v>
      </c>
      <c r="EP17" s="35">
        <f t="shared" si="110"/>
        <v>0.87053290931965033</v>
      </c>
      <c r="EQ17" s="51">
        <f t="shared" si="111"/>
        <v>-5.8639853888580173E-3</v>
      </c>
      <c r="ER17" s="34">
        <f t="shared" si="112"/>
        <v>0</v>
      </c>
      <c r="ES17" s="80">
        <f t="shared" si="113"/>
        <v>0</v>
      </c>
      <c r="ET17" s="76" t="s">
        <v>8</v>
      </c>
      <c r="EU17" s="30" t="s">
        <v>8</v>
      </c>
      <c r="EV17" s="35">
        <f t="shared" si="114"/>
        <v>0.87053290931965033</v>
      </c>
      <c r="EW17" s="33">
        <f t="shared" si="115"/>
        <v>-5.8639853888580173E-3</v>
      </c>
      <c r="EX17" s="34">
        <f t="shared" si="116"/>
        <v>0</v>
      </c>
      <c r="EY17" s="80">
        <f t="shared" si="117"/>
        <v>0</v>
      </c>
      <c r="EZ17" s="76" t="s">
        <v>8</v>
      </c>
      <c r="FA17" s="30" t="s">
        <v>8</v>
      </c>
      <c r="FB17" s="35">
        <f t="shared" si="118"/>
        <v>0.87053290931965033</v>
      </c>
      <c r="FC17" s="33">
        <f t="shared" si="119"/>
        <v>-5.8639853888580173E-3</v>
      </c>
      <c r="FD17" s="34">
        <f t="shared" si="120"/>
        <v>0</v>
      </c>
      <c r="FE17" s="80">
        <f t="shared" si="121"/>
        <v>0</v>
      </c>
      <c r="FF17" s="76" t="s">
        <v>8</v>
      </c>
      <c r="FG17" s="30" t="s">
        <v>8</v>
      </c>
      <c r="FH17" s="35">
        <f t="shared" si="122"/>
        <v>0.87053290931965033</v>
      </c>
      <c r="FI17" s="33">
        <f t="shared" si="123"/>
        <v>-5.8639853888580173E-3</v>
      </c>
      <c r="FJ17" s="34">
        <f t="shared" si="124"/>
        <v>0</v>
      </c>
      <c r="FK17" s="80">
        <f t="shared" si="125"/>
        <v>0</v>
      </c>
      <c r="FL17" s="76" t="s">
        <v>8</v>
      </c>
      <c r="FM17" s="30" t="s">
        <v>8</v>
      </c>
      <c r="FN17" s="35">
        <f t="shared" si="126"/>
        <v>0.87053290931965033</v>
      </c>
      <c r="FO17" s="33">
        <f t="shared" si="127"/>
        <v>-5.8639853888580173E-3</v>
      </c>
      <c r="FP17" s="34">
        <f t="shared" si="128"/>
        <v>0</v>
      </c>
      <c r="FQ17" s="80">
        <f t="shared" si="129"/>
        <v>0</v>
      </c>
      <c r="FR17" s="76" t="s">
        <v>8</v>
      </c>
      <c r="FS17" s="30" t="s">
        <v>8</v>
      </c>
      <c r="FT17" s="35">
        <f t="shared" si="130"/>
        <v>0.87053290931965033</v>
      </c>
      <c r="FU17" s="33">
        <f t="shared" si="131"/>
        <v>-5.8639853888580173E-3</v>
      </c>
      <c r="FV17" s="34">
        <f t="shared" si="132"/>
        <v>0</v>
      </c>
      <c r="FW17" s="80">
        <f t="shared" si="133"/>
        <v>0</v>
      </c>
      <c r="FX17" s="76" t="s">
        <v>8</v>
      </c>
      <c r="FY17" s="30" t="s">
        <v>8</v>
      </c>
      <c r="FZ17" s="35">
        <f t="shared" si="134"/>
        <v>0.87053290931965033</v>
      </c>
      <c r="GA17" s="33">
        <f t="shared" si="135"/>
        <v>-5.8639853888580173E-3</v>
      </c>
      <c r="GB17" s="34">
        <f t="shared" si="136"/>
        <v>0</v>
      </c>
      <c r="GC17" s="80">
        <f t="shared" si="137"/>
        <v>0</v>
      </c>
      <c r="GD17" s="76" t="s">
        <v>8</v>
      </c>
      <c r="GE17" s="30" t="s">
        <v>8</v>
      </c>
      <c r="GF17" s="35">
        <f t="shared" si="138"/>
        <v>0.87053290931965033</v>
      </c>
      <c r="GG17" s="33">
        <f t="shared" si="139"/>
        <v>-5.8639853888580173E-3</v>
      </c>
      <c r="GH17" s="34">
        <f t="shared" si="140"/>
        <v>0</v>
      </c>
      <c r="GI17" s="132">
        <f t="shared" si="141"/>
        <v>0</v>
      </c>
      <c r="GJ17" s="168">
        <f t="shared" si="145"/>
        <v>1043792.1220487938</v>
      </c>
      <c r="GK17" s="166">
        <f t="shared" si="146"/>
        <v>1696286.9151709955</v>
      </c>
      <c r="GL17" s="86">
        <f t="shared" si="142"/>
        <v>0.87053290931965044</v>
      </c>
      <c r="GN17" s="214">
        <v>1696286.91</v>
      </c>
    </row>
    <row r="18" spans="1:196" s="25" customFormat="1" ht="30.75" thickBot="1" x14ac:dyDescent="0.3">
      <c r="A18" s="184" t="s">
        <v>182</v>
      </c>
      <c r="B18" s="155" t="s">
        <v>8</v>
      </c>
      <c r="C18" s="155" t="s">
        <v>8</v>
      </c>
      <c r="D18" s="155" t="s">
        <v>8</v>
      </c>
      <c r="E18" s="155" t="s">
        <v>8</v>
      </c>
      <c r="F18" s="155" t="s">
        <v>8</v>
      </c>
      <c r="G18" s="113">
        <f>'Исходные данные 25 г.'!C20</f>
        <v>180</v>
      </c>
      <c r="H18" s="49">
        <f>'Исходные данные 2026 г. '!D20</f>
        <v>85290</v>
      </c>
      <c r="I18" s="32">
        <f>'Расчет КРП'!H16</f>
        <v>6.6587348099939305</v>
      </c>
      <c r="J18" s="120" t="s">
        <v>8</v>
      </c>
      <c r="K18" s="124">
        <f t="shared" si="22"/>
        <v>0.11363278867895089</v>
      </c>
      <c r="L18" s="77">
        <f t="shared" si="23"/>
        <v>175035.86104619419</v>
      </c>
      <c r="M18" s="73">
        <f t="shared" si="24"/>
        <v>0.34683495786057122</v>
      </c>
      <c r="N18" s="30" t="s">
        <v>8</v>
      </c>
      <c r="O18" s="33">
        <f t="shared" si="25"/>
        <v>8.7869002908153304E-2</v>
      </c>
      <c r="P18" s="34">
        <f t="shared" si="143"/>
        <v>168365.18084213557</v>
      </c>
      <c r="Q18" s="80">
        <f t="shared" si="26"/>
        <v>168365.18084213557</v>
      </c>
      <c r="R18" s="160" t="s">
        <v>8</v>
      </c>
      <c r="S18" s="30" t="s">
        <v>8</v>
      </c>
      <c r="T18" s="35">
        <f t="shared" si="27"/>
        <v>0.57114970772020013</v>
      </c>
      <c r="U18" s="33">
        <f t="shared" si="28"/>
        <v>5.0241887067609903E-2</v>
      </c>
      <c r="V18" s="53">
        <f t="shared" si="29"/>
        <v>117075.92178874322</v>
      </c>
      <c r="W18" s="80">
        <f t="shared" si="30"/>
        <v>117075.92178874322</v>
      </c>
      <c r="X18" s="76" t="s">
        <v>8</v>
      </c>
      <c r="Y18" s="30" t="s">
        <v>8</v>
      </c>
      <c r="Z18" s="35">
        <f t="shared" si="31"/>
        <v>0.72713122349008685</v>
      </c>
      <c r="AA18" s="33">
        <f t="shared" si="32"/>
        <v>3.4649100759413187E-2</v>
      </c>
      <c r="AB18" s="53">
        <f t="shared" si="33"/>
        <v>95320.060142390546</v>
      </c>
      <c r="AC18" s="80">
        <f t="shared" si="34"/>
        <v>64520.48510332952</v>
      </c>
      <c r="AD18" s="76" t="s">
        <v>8</v>
      </c>
      <c r="AE18" s="30" t="s">
        <v>8</v>
      </c>
      <c r="AF18" s="35">
        <f t="shared" si="35"/>
        <v>0.81309256302825128</v>
      </c>
      <c r="AG18" s="33">
        <f t="shared" si="36"/>
        <v>5.157636090254103E-2</v>
      </c>
      <c r="AH18" s="53">
        <f t="shared" si="37"/>
        <v>152132.98714057653</v>
      </c>
      <c r="AI18" s="80">
        <f t="shared" si="38"/>
        <v>0</v>
      </c>
      <c r="AJ18" s="76" t="s">
        <v>8</v>
      </c>
      <c r="AK18" s="30" t="s">
        <v>8</v>
      </c>
      <c r="AL18" s="35">
        <f t="shared" si="39"/>
        <v>0.81309256302825128</v>
      </c>
      <c r="AM18" s="33">
        <f t="shared" si="40"/>
        <v>5.157636090254103E-2</v>
      </c>
      <c r="AN18" s="53">
        <f t="shared" si="41"/>
        <v>152132.98714057653</v>
      </c>
      <c r="AO18" s="80">
        <f t="shared" si="42"/>
        <v>0</v>
      </c>
      <c r="AP18" s="76" t="s">
        <v>8</v>
      </c>
      <c r="AQ18" s="30" t="s">
        <v>8</v>
      </c>
      <c r="AR18" s="35">
        <f t="shared" si="43"/>
        <v>0.81309256302825128</v>
      </c>
      <c r="AS18" s="33">
        <f t="shared" si="44"/>
        <v>5.157636090254103E-2</v>
      </c>
      <c r="AT18" s="53">
        <f t="shared" si="45"/>
        <v>152132.98714057653</v>
      </c>
      <c r="AU18" s="80">
        <f t="shared" si="46"/>
        <v>0</v>
      </c>
      <c r="AV18" s="76" t="s">
        <v>8</v>
      </c>
      <c r="AW18" s="30" t="s">
        <v>8</v>
      </c>
      <c r="AX18" s="35">
        <f t="shared" si="47"/>
        <v>0.81309256302825128</v>
      </c>
      <c r="AY18" s="33">
        <f t="shared" si="48"/>
        <v>5.157636090254103E-2</v>
      </c>
      <c r="AZ18" s="53">
        <f t="shared" si="49"/>
        <v>152132.98714057653</v>
      </c>
      <c r="BA18" s="80">
        <f t="shared" si="50"/>
        <v>0</v>
      </c>
      <c r="BB18" s="76" t="s">
        <v>8</v>
      </c>
      <c r="BC18" s="30" t="s">
        <v>8</v>
      </c>
      <c r="BD18" s="35">
        <f t="shared" si="51"/>
        <v>0.81309256302825128</v>
      </c>
      <c r="BE18" s="33">
        <f t="shared" si="52"/>
        <v>5.157636090254103E-2</v>
      </c>
      <c r="BF18" s="53">
        <f t="shared" si="53"/>
        <v>152132.98714057653</v>
      </c>
      <c r="BG18" s="80">
        <f t="shared" si="54"/>
        <v>0</v>
      </c>
      <c r="BH18" s="76" t="s">
        <v>8</v>
      </c>
      <c r="BI18" s="30" t="s">
        <v>8</v>
      </c>
      <c r="BJ18" s="35">
        <f t="shared" si="55"/>
        <v>0.81309256302825128</v>
      </c>
      <c r="BK18" s="33">
        <f t="shared" si="56"/>
        <v>5.157636090254103E-2</v>
      </c>
      <c r="BL18" s="53">
        <f t="shared" si="57"/>
        <v>152132.98714057653</v>
      </c>
      <c r="BM18" s="80">
        <f t="shared" si="58"/>
        <v>0</v>
      </c>
      <c r="BN18" s="76" t="s">
        <v>8</v>
      </c>
      <c r="BO18" s="30" t="s">
        <v>8</v>
      </c>
      <c r="BP18" s="35">
        <f t="shared" si="59"/>
        <v>0.81309256302825128</v>
      </c>
      <c r="BQ18" s="33">
        <f t="shared" si="60"/>
        <v>5.157636090254103E-2</v>
      </c>
      <c r="BR18" s="53">
        <f t="shared" si="61"/>
        <v>152132.98714057653</v>
      </c>
      <c r="BS18" s="132">
        <f t="shared" si="62"/>
        <v>0</v>
      </c>
      <c r="BT18" s="76" t="s">
        <v>8</v>
      </c>
      <c r="BU18" s="30" t="s">
        <v>8</v>
      </c>
      <c r="BV18" s="35">
        <f t="shared" si="63"/>
        <v>0.81309256302825128</v>
      </c>
      <c r="BW18" s="33">
        <f t="shared" si="64"/>
        <v>5.157636090254103E-2</v>
      </c>
      <c r="BX18" s="53">
        <f t="shared" si="65"/>
        <v>152132.98714057653</v>
      </c>
      <c r="BY18" s="132">
        <f t="shared" si="66"/>
        <v>0</v>
      </c>
      <c r="BZ18" s="76" t="s">
        <v>8</v>
      </c>
      <c r="CA18" s="30" t="s">
        <v>8</v>
      </c>
      <c r="CB18" s="35">
        <f t="shared" si="67"/>
        <v>0.81309256302825128</v>
      </c>
      <c r="CC18" s="33">
        <f t="shared" si="68"/>
        <v>5.157636090254103E-2</v>
      </c>
      <c r="CD18" s="53">
        <f t="shared" si="69"/>
        <v>152132.98714057653</v>
      </c>
      <c r="CE18" s="132">
        <f t="shared" si="70"/>
        <v>0</v>
      </c>
      <c r="CF18" s="76" t="s">
        <v>8</v>
      </c>
      <c r="CG18" s="30" t="s">
        <v>8</v>
      </c>
      <c r="CH18" s="35">
        <f t="shared" si="71"/>
        <v>0.81309256302825128</v>
      </c>
      <c r="CI18" s="33">
        <f t="shared" si="72"/>
        <v>5.157636090254103E-2</v>
      </c>
      <c r="CJ18" s="53">
        <f t="shared" si="73"/>
        <v>152132.98714057653</v>
      </c>
      <c r="CK18" s="132">
        <f t="shared" si="74"/>
        <v>0</v>
      </c>
      <c r="CL18" s="76" t="s">
        <v>8</v>
      </c>
      <c r="CM18" s="30" t="s">
        <v>8</v>
      </c>
      <c r="CN18" s="35">
        <f t="shared" si="75"/>
        <v>0.81309256302825128</v>
      </c>
      <c r="CO18" s="33">
        <f t="shared" si="76"/>
        <v>5.157636090254103E-2</v>
      </c>
      <c r="CP18" s="53">
        <f t="shared" si="77"/>
        <v>152132.98714057653</v>
      </c>
      <c r="CQ18" s="132">
        <f t="shared" si="78"/>
        <v>0</v>
      </c>
      <c r="CR18" s="76" t="s">
        <v>8</v>
      </c>
      <c r="CS18" s="30" t="s">
        <v>8</v>
      </c>
      <c r="CT18" s="35">
        <f t="shared" si="79"/>
        <v>0.81309256302825128</v>
      </c>
      <c r="CU18" s="33">
        <f t="shared" si="80"/>
        <v>5.157636090254103E-2</v>
      </c>
      <c r="CV18" s="53">
        <f t="shared" si="81"/>
        <v>152132.98714057653</v>
      </c>
      <c r="CW18" s="132">
        <f t="shared" si="82"/>
        <v>0</v>
      </c>
      <c r="CX18" s="76" t="s">
        <v>8</v>
      </c>
      <c r="CY18" s="30" t="s">
        <v>8</v>
      </c>
      <c r="CZ18" s="35">
        <f t="shared" si="83"/>
        <v>0.81309256302825128</v>
      </c>
      <c r="DA18" s="33">
        <f t="shared" si="84"/>
        <v>5.157636090254103E-2</v>
      </c>
      <c r="DB18" s="53">
        <f t="shared" si="85"/>
        <v>152132.98714057653</v>
      </c>
      <c r="DC18" s="132">
        <f t="shared" si="86"/>
        <v>0</v>
      </c>
      <c r="DD18" s="76" t="s">
        <v>8</v>
      </c>
      <c r="DE18" s="30" t="s">
        <v>8</v>
      </c>
      <c r="DF18" s="35">
        <f t="shared" si="87"/>
        <v>0.81309256302825128</v>
      </c>
      <c r="DG18" s="33">
        <f t="shared" si="88"/>
        <v>5.157636090254103E-2</v>
      </c>
      <c r="DH18" s="53">
        <f t="shared" si="89"/>
        <v>152132.98714057653</v>
      </c>
      <c r="DI18" s="132">
        <f t="shared" si="90"/>
        <v>0</v>
      </c>
      <c r="DJ18" s="76" t="s">
        <v>8</v>
      </c>
      <c r="DK18" s="30" t="s">
        <v>8</v>
      </c>
      <c r="DL18" s="35">
        <f t="shared" si="91"/>
        <v>0.81309256302825128</v>
      </c>
      <c r="DM18" s="51">
        <f t="shared" si="92"/>
        <v>5.157636090254103E-2</v>
      </c>
      <c r="DN18" s="53">
        <f t="shared" si="93"/>
        <v>152132.98714057653</v>
      </c>
      <c r="DO18" s="132">
        <f t="shared" si="94"/>
        <v>0</v>
      </c>
      <c r="DP18" s="76" t="s">
        <v>8</v>
      </c>
      <c r="DQ18" s="30" t="s">
        <v>8</v>
      </c>
      <c r="DR18" s="35">
        <f t="shared" si="95"/>
        <v>0.81309256302825128</v>
      </c>
      <c r="DS18" s="51">
        <f t="shared" si="96"/>
        <v>5.157636090254103E-2</v>
      </c>
      <c r="DT18" s="53">
        <f t="shared" si="144"/>
        <v>152132.98714057653</v>
      </c>
      <c r="DU18" s="132">
        <f t="shared" si="97"/>
        <v>0</v>
      </c>
      <c r="DV18" s="76" t="s">
        <v>8</v>
      </c>
      <c r="DW18" s="30" t="s">
        <v>8</v>
      </c>
      <c r="DX18" s="35">
        <f t="shared" si="98"/>
        <v>0.81309256302825128</v>
      </c>
      <c r="DY18" s="33">
        <f t="shared" si="99"/>
        <v>5.157636090254103E-2</v>
      </c>
      <c r="DZ18" s="34">
        <f t="shared" si="100"/>
        <v>152132.98714057653</v>
      </c>
      <c r="EA18" s="80">
        <f t="shared" si="101"/>
        <v>0</v>
      </c>
      <c r="EB18" s="76" t="s">
        <v>8</v>
      </c>
      <c r="EC18" s="30" t="s">
        <v>8</v>
      </c>
      <c r="ED18" s="35">
        <f t="shared" si="102"/>
        <v>0.81309256302825128</v>
      </c>
      <c r="EE18" s="33">
        <f t="shared" si="103"/>
        <v>5.157636090254103E-2</v>
      </c>
      <c r="EF18" s="34">
        <f t="shared" si="104"/>
        <v>152132.98714057653</v>
      </c>
      <c r="EG18" s="80">
        <f t="shared" si="105"/>
        <v>0</v>
      </c>
      <c r="EH18" s="76" t="s">
        <v>8</v>
      </c>
      <c r="EI18" s="30" t="s">
        <v>8</v>
      </c>
      <c r="EJ18" s="35">
        <f t="shared" si="106"/>
        <v>0.81309256302825128</v>
      </c>
      <c r="EK18" s="33">
        <f t="shared" si="107"/>
        <v>5.157636090254103E-2</v>
      </c>
      <c r="EL18" s="34">
        <f t="shared" si="108"/>
        <v>152132.98714057653</v>
      </c>
      <c r="EM18" s="80">
        <f t="shared" si="109"/>
        <v>0</v>
      </c>
      <c r="EN18" s="76" t="s">
        <v>8</v>
      </c>
      <c r="EO18" s="30" t="s">
        <v>8</v>
      </c>
      <c r="EP18" s="35">
        <f t="shared" si="110"/>
        <v>0.81309256302825128</v>
      </c>
      <c r="EQ18" s="51">
        <f t="shared" si="111"/>
        <v>5.157636090254103E-2</v>
      </c>
      <c r="ER18" s="34">
        <f t="shared" si="112"/>
        <v>152132.98714057653</v>
      </c>
      <c r="ES18" s="80">
        <f t="shared" si="113"/>
        <v>0</v>
      </c>
      <c r="ET18" s="76" t="s">
        <v>8</v>
      </c>
      <c r="EU18" s="30" t="s">
        <v>8</v>
      </c>
      <c r="EV18" s="35">
        <f t="shared" si="114"/>
        <v>0.81309256302825128</v>
      </c>
      <c r="EW18" s="33">
        <f t="shared" si="115"/>
        <v>5.157636090254103E-2</v>
      </c>
      <c r="EX18" s="34">
        <f t="shared" si="116"/>
        <v>152132.98714057653</v>
      </c>
      <c r="EY18" s="80">
        <f t="shared" si="117"/>
        <v>0</v>
      </c>
      <c r="EZ18" s="76" t="s">
        <v>8</v>
      </c>
      <c r="FA18" s="30" t="s">
        <v>8</v>
      </c>
      <c r="FB18" s="35">
        <f t="shared" si="118"/>
        <v>0.81309256302825128</v>
      </c>
      <c r="FC18" s="33">
        <f t="shared" si="119"/>
        <v>5.157636090254103E-2</v>
      </c>
      <c r="FD18" s="34">
        <f t="shared" si="120"/>
        <v>152132.98714057653</v>
      </c>
      <c r="FE18" s="80">
        <f t="shared" si="121"/>
        <v>0</v>
      </c>
      <c r="FF18" s="76" t="s">
        <v>8</v>
      </c>
      <c r="FG18" s="30" t="s">
        <v>8</v>
      </c>
      <c r="FH18" s="35">
        <f t="shared" si="122"/>
        <v>0.81309256302825128</v>
      </c>
      <c r="FI18" s="33">
        <f t="shared" si="123"/>
        <v>5.157636090254103E-2</v>
      </c>
      <c r="FJ18" s="34">
        <f t="shared" si="124"/>
        <v>152132.98714057653</v>
      </c>
      <c r="FK18" s="80">
        <f t="shared" si="125"/>
        <v>0</v>
      </c>
      <c r="FL18" s="76" t="s">
        <v>8</v>
      </c>
      <c r="FM18" s="30" t="s">
        <v>8</v>
      </c>
      <c r="FN18" s="35">
        <f t="shared" si="126"/>
        <v>0.81309256302825128</v>
      </c>
      <c r="FO18" s="33">
        <f t="shared" si="127"/>
        <v>5.157636090254103E-2</v>
      </c>
      <c r="FP18" s="34">
        <f t="shared" si="128"/>
        <v>152132.98714057653</v>
      </c>
      <c r="FQ18" s="80">
        <f t="shared" si="129"/>
        <v>0</v>
      </c>
      <c r="FR18" s="76" t="s">
        <v>8</v>
      </c>
      <c r="FS18" s="30" t="s">
        <v>8</v>
      </c>
      <c r="FT18" s="35">
        <f t="shared" si="130"/>
        <v>0.81309256302825128</v>
      </c>
      <c r="FU18" s="33">
        <f t="shared" si="131"/>
        <v>5.157636090254103E-2</v>
      </c>
      <c r="FV18" s="34">
        <f t="shared" si="132"/>
        <v>152132.98714057653</v>
      </c>
      <c r="FW18" s="80">
        <f t="shared" si="133"/>
        <v>0</v>
      </c>
      <c r="FX18" s="76" t="s">
        <v>8</v>
      </c>
      <c r="FY18" s="30" t="s">
        <v>8</v>
      </c>
      <c r="FZ18" s="35">
        <f t="shared" si="134"/>
        <v>0.81309256302825128</v>
      </c>
      <c r="GA18" s="33">
        <f t="shared" si="135"/>
        <v>5.157636090254103E-2</v>
      </c>
      <c r="GB18" s="34">
        <f t="shared" si="136"/>
        <v>152132.98714057653</v>
      </c>
      <c r="GC18" s="80">
        <f t="shared" si="137"/>
        <v>0</v>
      </c>
      <c r="GD18" s="76" t="s">
        <v>8</v>
      </c>
      <c r="GE18" s="30" t="s">
        <v>8</v>
      </c>
      <c r="GF18" s="35">
        <f t="shared" si="138"/>
        <v>0.81309256302825128</v>
      </c>
      <c r="GG18" s="33">
        <f t="shared" si="139"/>
        <v>5.157636090254103E-2</v>
      </c>
      <c r="GH18" s="34">
        <f t="shared" si="140"/>
        <v>152132.98714057653</v>
      </c>
      <c r="GI18" s="132">
        <f t="shared" si="141"/>
        <v>0</v>
      </c>
      <c r="GJ18" s="168">
        <f t="shared" si="145"/>
        <v>349961.58773420833</v>
      </c>
      <c r="GK18" s="166">
        <f t="shared" si="146"/>
        <v>524997.44878040254</v>
      </c>
      <c r="GL18" s="86">
        <f t="shared" si="142"/>
        <v>0.81309256302825128</v>
      </c>
      <c r="GN18" s="214">
        <v>524997.44999999995</v>
      </c>
    </row>
    <row r="19" spans="1:196" s="25" customFormat="1" ht="30.75" thickBot="1" x14ac:dyDescent="0.3">
      <c r="A19" s="184" t="s">
        <v>183</v>
      </c>
      <c r="B19" s="155" t="s">
        <v>8</v>
      </c>
      <c r="C19" s="155" t="s">
        <v>8</v>
      </c>
      <c r="D19" s="155" t="s">
        <v>8</v>
      </c>
      <c r="E19" s="155" t="s">
        <v>8</v>
      </c>
      <c r="F19" s="155" t="s">
        <v>8</v>
      </c>
      <c r="G19" s="113">
        <f>'Исходные данные 25 г.'!C21</f>
        <v>4810</v>
      </c>
      <c r="H19" s="49">
        <f>'Исходные данные 2026 г. '!D21</f>
        <v>4116000</v>
      </c>
      <c r="I19" s="32">
        <f>'Расчет КРП'!H17</f>
        <v>3.6657593688362917</v>
      </c>
      <c r="J19" s="120" t="s">
        <v>8</v>
      </c>
      <c r="K19" s="124">
        <f t="shared" si="22"/>
        <v>0.37276584352940184</v>
      </c>
      <c r="L19" s="77">
        <f t="shared" si="23"/>
        <v>4677347.175734411</v>
      </c>
      <c r="M19" s="73">
        <f t="shared" si="24"/>
        <v>0.79637013542505375</v>
      </c>
      <c r="N19" s="30" t="s">
        <v>8</v>
      </c>
      <c r="O19" s="33">
        <f t="shared" si="25"/>
        <v>-0.36166617465632922</v>
      </c>
      <c r="P19" s="34">
        <f t="shared" si="143"/>
        <v>0</v>
      </c>
      <c r="Q19" s="80">
        <f t="shared" si="26"/>
        <v>0</v>
      </c>
      <c r="R19" s="160" t="s">
        <v>8</v>
      </c>
      <c r="S19" s="30" t="s">
        <v>8</v>
      </c>
      <c r="T19" s="35">
        <f t="shared" si="27"/>
        <v>0.79637013542505375</v>
      </c>
      <c r="U19" s="33">
        <f t="shared" si="28"/>
        <v>-0.17497854063724372</v>
      </c>
      <c r="V19" s="53">
        <f t="shared" si="29"/>
        <v>0</v>
      </c>
      <c r="W19" s="80">
        <f t="shared" si="30"/>
        <v>0</v>
      </c>
      <c r="X19" s="76" t="s">
        <v>8</v>
      </c>
      <c r="Y19" s="30" t="s">
        <v>8</v>
      </c>
      <c r="Z19" s="35">
        <f t="shared" si="31"/>
        <v>0.79637013542505375</v>
      </c>
      <c r="AA19" s="33">
        <f t="shared" si="32"/>
        <v>-3.4589811175553709E-2</v>
      </c>
      <c r="AB19" s="53">
        <f t="shared" si="33"/>
        <v>0</v>
      </c>
      <c r="AC19" s="80">
        <f t="shared" si="34"/>
        <v>0</v>
      </c>
      <c r="AD19" s="76" t="s">
        <v>8</v>
      </c>
      <c r="AE19" s="30" t="s">
        <v>8</v>
      </c>
      <c r="AF19" s="35">
        <f t="shared" si="35"/>
        <v>0.79637013542505375</v>
      </c>
      <c r="AG19" s="33">
        <f t="shared" si="36"/>
        <v>6.8298788505738561E-2</v>
      </c>
      <c r="AH19" s="53">
        <f t="shared" si="37"/>
        <v>2963674.4913675264</v>
      </c>
      <c r="AI19" s="80">
        <f t="shared" si="38"/>
        <v>0</v>
      </c>
      <c r="AJ19" s="76" t="s">
        <v>8</v>
      </c>
      <c r="AK19" s="30" t="s">
        <v>8</v>
      </c>
      <c r="AL19" s="35">
        <f t="shared" si="39"/>
        <v>0.79637013542505375</v>
      </c>
      <c r="AM19" s="33">
        <f t="shared" si="40"/>
        <v>6.8298788505738561E-2</v>
      </c>
      <c r="AN19" s="53">
        <f t="shared" si="41"/>
        <v>2963674.4913675264</v>
      </c>
      <c r="AO19" s="80">
        <f t="shared" si="42"/>
        <v>0</v>
      </c>
      <c r="AP19" s="76" t="s">
        <v>8</v>
      </c>
      <c r="AQ19" s="30" t="s">
        <v>8</v>
      </c>
      <c r="AR19" s="35">
        <f t="shared" si="43"/>
        <v>0.79637013542505375</v>
      </c>
      <c r="AS19" s="33">
        <f t="shared" si="44"/>
        <v>6.8298788505738561E-2</v>
      </c>
      <c r="AT19" s="53">
        <f t="shared" si="45"/>
        <v>2963674.4913675264</v>
      </c>
      <c r="AU19" s="80">
        <f t="shared" si="46"/>
        <v>0</v>
      </c>
      <c r="AV19" s="76" t="s">
        <v>8</v>
      </c>
      <c r="AW19" s="30" t="s">
        <v>8</v>
      </c>
      <c r="AX19" s="35">
        <f t="shared" si="47"/>
        <v>0.79637013542505375</v>
      </c>
      <c r="AY19" s="33">
        <f t="shared" si="48"/>
        <v>6.8298788505738561E-2</v>
      </c>
      <c r="AZ19" s="53">
        <f t="shared" si="49"/>
        <v>2963674.4913675264</v>
      </c>
      <c r="BA19" s="80">
        <f t="shared" si="50"/>
        <v>0</v>
      </c>
      <c r="BB19" s="76" t="s">
        <v>8</v>
      </c>
      <c r="BC19" s="30" t="s">
        <v>8</v>
      </c>
      <c r="BD19" s="35">
        <f t="shared" si="51"/>
        <v>0.79637013542505375</v>
      </c>
      <c r="BE19" s="33">
        <f t="shared" si="52"/>
        <v>6.8298788505738561E-2</v>
      </c>
      <c r="BF19" s="53">
        <f t="shared" si="53"/>
        <v>2963674.4913675264</v>
      </c>
      <c r="BG19" s="80">
        <f t="shared" si="54"/>
        <v>0</v>
      </c>
      <c r="BH19" s="76" t="s">
        <v>8</v>
      </c>
      <c r="BI19" s="30" t="s">
        <v>8</v>
      </c>
      <c r="BJ19" s="35">
        <f t="shared" si="55"/>
        <v>0.79637013542505375</v>
      </c>
      <c r="BK19" s="33">
        <f t="shared" si="56"/>
        <v>6.8298788505738561E-2</v>
      </c>
      <c r="BL19" s="53">
        <f t="shared" si="57"/>
        <v>2963674.4913675264</v>
      </c>
      <c r="BM19" s="80">
        <f t="shared" si="58"/>
        <v>0</v>
      </c>
      <c r="BN19" s="76" t="s">
        <v>8</v>
      </c>
      <c r="BO19" s="30" t="s">
        <v>8</v>
      </c>
      <c r="BP19" s="35">
        <f t="shared" si="59"/>
        <v>0.79637013542505375</v>
      </c>
      <c r="BQ19" s="33">
        <f t="shared" si="60"/>
        <v>6.8298788505738561E-2</v>
      </c>
      <c r="BR19" s="53">
        <f t="shared" si="61"/>
        <v>2963674.4913675264</v>
      </c>
      <c r="BS19" s="132">
        <f t="shared" si="62"/>
        <v>0</v>
      </c>
      <c r="BT19" s="76" t="s">
        <v>8</v>
      </c>
      <c r="BU19" s="30" t="s">
        <v>8</v>
      </c>
      <c r="BV19" s="35">
        <f t="shared" si="63"/>
        <v>0.79637013542505375</v>
      </c>
      <c r="BW19" s="33">
        <f t="shared" si="64"/>
        <v>6.8298788505738561E-2</v>
      </c>
      <c r="BX19" s="53">
        <f t="shared" si="65"/>
        <v>2963674.4913675264</v>
      </c>
      <c r="BY19" s="132">
        <f t="shared" si="66"/>
        <v>0</v>
      </c>
      <c r="BZ19" s="76" t="s">
        <v>8</v>
      </c>
      <c r="CA19" s="30" t="s">
        <v>8</v>
      </c>
      <c r="CB19" s="35">
        <f t="shared" si="67"/>
        <v>0.79637013542505375</v>
      </c>
      <c r="CC19" s="33">
        <f t="shared" si="68"/>
        <v>6.8298788505738561E-2</v>
      </c>
      <c r="CD19" s="53">
        <f t="shared" si="69"/>
        <v>2963674.4913675264</v>
      </c>
      <c r="CE19" s="132">
        <f t="shared" si="70"/>
        <v>0</v>
      </c>
      <c r="CF19" s="76" t="s">
        <v>8</v>
      </c>
      <c r="CG19" s="30" t="s">
        <v>8</v>
      </c>
      <c r="CH19" s="35">
        <f t="shared" si="71"/>
        <v>0.79637013542505375</v>
      </c>
      <c r="CI19" s="33">
        <f t="shared" si="72"/>
        <v>6.8298788505738561E-2</v>
      </c>
      <c r="CJ19" s="53">
        <f t="shared" si="73"/>
        <v>2963674.4913675264</v>
      </c>
      <c r="CK19" s="132">
        <f t="shared" si="74"/>
        <v>0</v>
      </c>
      <c r="CL19" s="76" t="s">
        <v>8</v>
      </c>
      <c r="CM19" s="30" t="s">
        <v>8</v>
      </c>
      <c r="CN19" s="35">
        <f t="shared" si="75"/>
        <v>0.79637013542505375</v>
      </c>
      <c r="CO19" s="33">
        <f t="shared" si="76"/>
        <v>6.8298788505738561E-2</v>
      </c>
      <c r="CP19" s="53">
        <f t="shared" si="77"/>
        <v>2963674.4913675264</v>
      </c>
      <c r="CQ19" s="132">
        <f t="shared" si="78"/>
        <v>0</v>
      </c>
      <c r="CR19" s="76" t="s">
        <v>8</v>
      </c>
      <c r="CS19" s="30" t="s">
        <v>8</v>
      </c>
      <c r="CT19" s="35">
        <f t="shared" si="79"/>
        <v>0.79637013542505375</v>
      </c>
      <c r="CU19" s="33">
        <f t="shared" si="80"/>
        <v>6.8298788505738561E-2</v>
      </c>
      <c r="CV19" s="53">
        <f t="shared" si="81"/>
        <v>2963674.4913675264</v>
      </c>
      <c r="CW19" s="132">
        <f t="shared" si="82"/>
        <v>0</v>
      </c>
      <c r="CX19" s="76" t="s">
        <v>8</v>
      </c>
      <c r="CY19" s="30" t="s">
        <v>8</v>
      </c>
      <c r="CZ19" s="35">
        <f t="shared" si="83"/>
        <v>0.79637013542505375</v>
      </c>
      <c r="DA19" s="33">
        <f t="shared" si="84"/>
        <v>6.8298788505738561E-2</v>
      </c>
      <c r="DB19" s="53">
        <f t="shared" si="85"/>
        <v>2963674.4913675264</v>
      </c>
      <c r="DC19" s="132">
        <f t="shared" si="86"/>
        <v>0</v>
      </c>
      <c r="DD19" s="76" t="s">
        <v>8</v>
      </c>
      <c r="DE19" s="30" t="s">
        <v>8</v>
      </c>
      <c r="DF19" s="35">
        <f t="shared" si="87"/>
        <v>0.79637013542505375</v>
      </c>
      <c r="DG19" s="33">
        <f t="shared" si="88"/>
        <v>6.8298788505738561E-2</v>
      </c>
      <c r="DH19" s="53">
        <f t="shared" si="89"/>
        <v>2963674.4913675264</v>
      </c>
      <c r="DI19" s="132">
        <f t="shared" si="90"/>
        <v>0</v>
      </c>
      <c r="DJ19" s="76" t="s">
        <v>8</v>
      </c>
      <c r="DK19" s="30" t="s">
        <v>8</v>
      </c>
      <c r="DL19" s="35">
        <f t="shared" si="91"/>
        <v>0.79637013542505375</v>
      </c>
      <c r="DM19" s="51">
        <f t="shared" si="92"/>
        <v>6.8298788505738561E-2</v>
      </c>
      <c r="DN19" s="53">
        <f t="shared" si="93"/>
        <v>2963674.4913675264</v>
      </c>
      <c r="DO19" s="132">
        <f t="shared" si="94"/>
        <v>0</v>
      </c>
      <c r="DP19" s="76" t="s">
        <v>8</v>
      </c>
      <c r="DQ19" s="30" t="s">
        <v>8</v>
      </c>
      <c r="DR19" s="35">
        <f t="shared" si="95"/>
        <v>0.79637013542505375</v>
      </c>
      <c r="DS19" s="51">
        <f t="shared" si="96"/>
        <v>6.8298788505738561E-2</v>
      </c>
      <c r="DT19" s="53">
        <f t="shared" si="144"/>
        <v>2963674.4913675264</v>
      </c>
      <c r="DU19" s="132">
        <f t="shared" si="97"/>
        <v>0</v>
      </c>
      <c r="DV19" s="76" t="s">
        <v>8</v>
      </c>
      <c r="DW19" s="30" t="s">
        <v>8</v>
      </c>
      <c r="DX19" s="35">
        <f t="shared" si="98"/>
        <v>0.79637013542505375</v>
      </c>
      <c r="DY19" s="33">
        <f t="shared" si="99"/>
        <v>6.8298788505738561E-2</v>
      </c>
      <c r="DZ19" s="34">
        <f t="shared" si="100"/>
        <v>2963674.4913675264</v>
      </c>
      <c r="EA19" s="80">
        <f t="shared" si="101"/>
        <v>0</v>
      </c>
      <c r="EB19" s="76" t="s">
        <v>8</v>
      </c>
      <c r="EC19" s="30" t="s">
        <v>8</v>
      </c>
      <c r="ED19" s="35">
        <f t="shared" si="102"/>
        <v>0.79637013542505375</v>
      </c>
      <c r="EE19" s="33">
        <f t="shared" si="103"/>
        <v>6.8298788505738561E-2</v>
      </c>
      <c r="EF19" s="34">
        <f t="shared" si="104"/>
        <v>2963674.4913675264</v>
      </c>
      <c r="EG19" s="80">
        <f t="shared" si="105"/>
        <v>0</v>
      </c>
      <c r="EH19" s="76" t="s">
        <v>8</v>
      </c>
      <c r="EI19" s="30" t="s">
        <v>8</v>
      </c>
      <c r="EJ19" s="35">
        <f t="shared" si="106"/>
        <v>0.79637013542505375</v>
      </c>
      <c r="EK19" s="33">
        <f t="shared" si="107"/>
        <v>6.8298788505738561E-2</v>
      </c>
      <c r="EL19" s="34">
        <f t="shared" si="108"/>
        <v>2963674.4913675264</v>
      </c>
      <c r="EM19" s="80">
        <f t="shared" si="109"/>
        <v>0</v>
      </c>
      <c r="EN19" s="76" t="s">
        <v>8</v>
      </c>
      <c r="EO19" s="30" t="s">
        <v>8</v>
      </c>
      <c r="EP19" s="35">
        <f t="shared" si="110"/>
        <v>0.79637013542505375</v>
      </c>
      <c r="EQ19" s="51">
        <f t="shared" si="111"/>
        <v>6.8298788505738561E-2</v>
      </c>
      <c r="ER19" s="34">
        <f t="shared" si="112"/>
        <v>2963674.4913675264</v>
      </c>
      <c r="ES19" s="80">
        <f t="shared" si="113"/>
        <v>0</v>
      </c>
      <c r="ET19" s="76" t="s">
        <v>8</v>
      </c>
      <c r="EU19" s="30" t="s">
        <v>8</v>
      </c>
      <c r="EV19" s="35">
        <f t="shared" si="114"/>
        <v>0.79637013542505375</v>
      </c>
      <c r="EW19" s="33">
        <f t="shared" si="115"/>
        <v>6.8298788505738561E-2</v>
      </c>
      <c r="EX19" s="34">
        <f t="shared" si="116"/>
        <v>2963674.4913675264</v>
      </c>
      <c r="EY19" s="80">
        <f t="shared" si="117"/>
        <v>0</v>
      </c>
      <c r="EZ19" s="76" t="s">
        <v>8</v>
      </c>
      <c r="FA19" s="30" t="s">
        <v>8</v>
      </c>
      <c r="FB19" s="35">
        <f t="shared" si="118"/>
        <v>0.79637013542505375</v>
      </c>
      <c r="FC19" s="33">
        <f t="shared" si="119"/>
        <v>6.8298788505738561E-2</v>
      </c>
      <c r="FD19" s="34">
        <f t="shared" si="120"/>
        <v>2963674.4913675264</v>
      </c>
      <c r="FE19" s="80">
        <f t="shared" si="121"/>
        <v>0</v>
      </c>
      <c r="FF19" s="76" t="s">
        <v>8</v>
      </c>
      <c r="FG19" s="30" t="s">
        <v>8</v>
      </c>
      <c r="FH19" s="35">
        <f t="shared" si="122"/>
        <v>0.79637013542505375</v>
      </c>
      <c r="FI19" s="33">
        <f t="shared" si="123"/>
        <v>6.8298788505738561E-2</v>
      </c>
      <c r="FJ19" s="34">
        <f t="shared" si="124"/>
        <v>2963674.4913675264</v>
      </c>
      <c r="FK19" s="80">
        <f t="shared" si="125"/>
        <v>0</v>
      </c>
      <c r="FL19" s="76" t="s">
        <v>8</v>
      </c>
      <c r="FM19" s="30" t="s">
        <v>8</v>
      </c>
      <c r="FN19" s="35">
        <f t="shared" si="126"/>
        <v>0.79637013542505375</v>
      </c>
      <c r="FO19" s="33">
        <f t="shared" si="127"/>
        <v>6.8298788505738561E-2</v>
      </c>
      <c r="FP19" s="34">
        <f t="shared" si="128"/>
        <v>2963674.4913675264</v>
      </c>
      <c r="FQ19" s="80">
        <f t="shared" si="129"/>
        <v>0</v>
      </c>
      <c r="FR19" s="76" t="s">
        <v>8</v>
      </c>
      <c r="FS19" s="30" t="s">
        <v>8</v>
      </c>
      <c r="FT19" s="35">
        <f t="shared" si="130"/>
        <v>0.79637013542505375</v>
      </c>
      <c r="FU19" s="33">
        <f t="shared" si="131"/>
        <v>6.8298788505738561E-2</v>
      </c>
      <c r="FV19" s="34">
        <f t="shared" si="132"/>
        <v>2963674.4913675264</v>
      </c>
      <c r="FW19" s="80">
        <f t="shared" si="133"/>
        <v>0</v>
      </c>
      <c r="FX19" s="76" t="s">
        <v>8</v>
      </c>
      <c r="FY19" s="30" t="s">
        <v>8</v>
      </c>
      <c r="FZ19" s="35">
        <f t="shared" si="134"/>
        <v>0.79637013542505375</v>
      </c>
      <c r="GA19" s="33">
        <f t="shared" si="135"/>
        <v>6.8298788505738561E-2</v>
      </c>
      <c r="GB19" s="34">
        <f t="shared" si="136"/>
        <v>2963674.4913675264</v>
      </c>
      <c r="GC19" s="80">
        <f t="shared" si="137"/>
        <v>0</v>
      </c>
      <c r="GD19" s="76" t="s">
        <v>8</v>
      </c>
      <c r="GE19" s="30" t="s">
        <v>8</v>
      </c>
      <c r="GF19" s="35">
        <f t="shared" si="138"/>
        <v>0.79637013542505375</v>
      </c>
      <c r="GG19" s="33">
        <f t="shared" si="139"/>
        <v>6.8298788505738561E-2</v>
      </c>
      <c r="GH19" s="34">
        <f t="shared" si="140"/>
        <v>2963674.4913675264</v>
      </c>
      <c r="GI19" s="132">
        <f t="shared" si="141"/>
        <v>0</v>
      </c>
      <c r="GJ19" s="168">
        <f t="shared" si="145"/>
        <v>0</v>
      </c>
      <c r="GK19" s="166">
        <f t="shared" si="146"/>
        <v>4677347.175734411</v>
      </c>
      <c r="GL19" s="86">
        <f t="shared" si="142"/>
        <v>0.79637013542505364</v>
      </c>
      <c r="GN19" s="214">
        <v>4677347.18</v>
      </c>
    </row>
    <row r="20" spans="1:196" s="25" customFormat="1" ht="15.75" customHeight="1" thickBot="1" x14ac:dyDescent="0.3">
      <c r="A20" s="184" t="s">
        <v>184</v>
      </c>
      <c r="B20" s="155" t="s">
        <v>8</v>
      </c>
      <c r="C20" s="155" t="s">
        <v>8</v>
      </c>
      <c r="D20" s="155" t="s">
        <v>8</v>
      </c>
      <c r="E20" s="155" t="s">
        <v>8</v>
      </c>
      <c r="F20" s="155" t="s">
        <v>8</v>
      </c>
      <c r="G20" s="113">
        <f>'Исходные данные 25 г.'!C22</f>
        <v>374</v>
      </c>
      <c r="H20" s="49">
        <f>'Исходные данные 2026 г. '!D22</f>
        <v>131640</v>
      </c>
      <c r="I20" s="32">
        <f>'Расчет КРП'!H18</f>
        <v>5.6763197575879705</v>
      </c>
      <c r="J20" s="120" t="s">
        <v>8</v>
      </c>
      <c r="K20" s="124">
        <f t="shared" si="22"/>
        <v>9.9019150012744153E-2</v>
      </c>
      <c r="L20" s="77">
        <f t="shared" si="23"/>
        <v>363685.62239598122</v>
      </c>
      <c r="M20" s="73">
        <f t="shared" si="24"/>
        <v>0.37258220988440843</v>
      </c>
      <c r="N20" s="30" t="s">
        <v>8</v>
      </c>
      <c r="O20" s="33">
        <f t="shared" si="25"/>
        <v>6.2121750884316096E-2</v>
      </c>
      <c r="P20" s="34">
        <f t="shared" si="143"/>
        <v>210831.01553527999</v>
      </c>
      <c r="Q20" s="80">
        <f t="shared" si="26"/>
        <v>210831.01553527999</v>
      </c>
      <c r="R20" s="160" t="s">
        <v>8</v>
      </c>
      <c r="S20" s="30" t="s">
        <v>8</v>
      </c>
      <c r="T20" s="35">
        <f t="shared" si="27"/>
        <v>0.53116856627021125</v>
      </c>
      <c r="U20" s="33">
        <f t="shared" si="28"/>
        <v>9.022302851759878E-2</v>
      </c>
      <c r="V20" s="53">
        <f t="shared" si="29"/>
        <v>372385.93895888492</v>
      </c>
      <c r="W20" s="80">
        <f t="shared" si="30"/>
        <v>372385.93895888492</v>
      </c>
      <c r="X20" s="76" t="s">
        <v>8</v>
      </c>
      <c r="Y20" s="30" t="s">
        <v>8</v>
      </c>
      <c r="Z20" s="35">
        <f t="shared" si="31"/>
        <v>0.81127597399131735</v>
      </c>
      <c r="AA20" s="33">
        <f t="shared" si="32"/>
        <v>-4.9495649741817305E-2</v>
      </c>
      <c r="AB20" s="53">
        <f t="shared" si="33"/>
        <v>0</v>
      </c>
      <c r="AC20" s="80">
        <f t="shared" si="34"/>
        <v>0</v>
      </c>
      <c r="AD20" s="76" t="s">
        <v>8</v>
      </c>
      <c r="AE20" s="30" t="s">
        <v>8</v>
      </c>
      <c r="AF20" s="35">
        <f t="shared" si="35"/>
        <v>0.81127597399131735</v>
      </c>
      <c r="AG20" s="33">
        <f t="shared" si="36"/>
        <v>5.3392949939474965E-2</v>
      </c>
      <c r="AH20" s="53">
        <f t="shared" si="37"/>
        <v>278952.87566304131</v>
      </c>
      <c r="AI20" s="80">
        <f t="shared" si="38"/>
        <v>0</v>
      </c>
      <c r="AJ20" s="76" t="s">
        <v>8</v>
      </c>
      <c r="AK20" s="30" t="s">
        <v>8</v>
      </c>
      <c r="AL20" s="35">
        <f t="shared" si="39"/>
        <v>0.81127597399131735</v>
      </c>
      <c r="AM20" s="33">
        <f t="shared" si="40"/>
        <v>5.3392949939474965E-2</v>
      </c>
      <c r="AN20" s="53">
        <f t="shared" si="41"/>
        <v>278952.87566304131</v>
      </c>
      <c r="AO20" s="80">
        <f t="shared" si="42"/>
        <v>0</v>
      </c>
      <c r="AP20" s="76" t="s">
        <v>8</v>
      </c>
      <c r="AQ20" s="30" t="s">
        <v>8</v>
      </c>
      <c r="AR20" s="35">
        <f t="shared" si="43"/>
        <v>0.81127597399131735</v>
      </c>
      <c r="AS20" s="33">
        <f t="shared" si="44"/>
        <v>5.3392949939474965E-2</v>
      </c>
      <c r="AT20" s="53">
        <f t="shared" si="45"/>
        <v>278952.87566304131</v>
      </c>
      <c r="AU20" s="80">
        <f t="shared" si="46"/>
        <v>0</v>
      </c>
      <c r="AV20" s="76" t="s">
        <v>8</v>
      </c>
      <c r="AW20" s="30" t="s">
        <v>8</v>
      </c>
      <c r="AX20" s="35">
        <f t="shared" si="47"/>
        <v>0.81127597399131735</v>
      </c>
      <c r="AY20" s="33">
        <f t="shared" si="48"/>
        <v>5.3392949939474965E-2</v>
      </c>
      <c r="AZ20" s="53">
        <f t="shared" si="49"/>
        <v>278952.87566304131</v>
      </c>
      <c r="BA20" s="80">
        <f t="shared" si="50"/>
        <v>0</v>
      </c>
      <c r="BB20" s="76" t="s">
        <v>8</v>
      </c>
      <c r="BC20" s="30" t="s">
        <v>8</v>
      </c>
      <c r="BD20" s="35">
        <f t="shared" si="51"/>
        <v>0.81127597399131735</v>
      </c>
      <c r="BE20" s="33">
        <f t="shared" si="52"/>
        <v>5.3392949939474965E-2</v>
      </c>
      <c r="BF20" s="53">
        <f t="shared" si="53"/>
        <v>278952.87566304131</v>
      </c>
      <c r="BG20" s="80">
        <f t="shared" si="54"/>
        <v>0</v>
      </c>
      <c r="BH20" s="76" t="s">
        <v>8</v>
      </c>
      <c r="BI20" s="30" t="s">
        <v>8</v>
      </c>
      <c r="BJ20" s="35">
        <f t="shared" si="55"/>
        <v>0.81127597399131735</v>
      </c>
      <c r="BK20" s="33">
        <f t="shared" si="56"/>
        <v>5.3392949939474965E-2</v>
      </c>
      <c r="BL20" s="53">
        <f t="shared" si="57"/>
        <v>278952.87566304131</v>
      </c>
      <c r="BM20" s="80">
        <f t="shared" si="58"/>
        <v>0</v>
      </c>
      <c r="BN20" s="76" t="s">
        <v>8</v>
      </c>
      <c r="BO20" s="30" t="s">
        <v>8</v>
      </c>
      <c r="BP20" s="35">
        <f t="shared" si="59"/>
        <v>0.81127597399131735</v>
      </c>
      <c r="BQ20" s="33">
        <f t="shared" si="60"/>
        <v>5.3392949939474965E-2</v>
      </c>
      <c r="BR20" s="53">
        <f t="shared" si="61"/>
        <v>278952.87566304131</v>
      </c>
      <c r="BS20" s="132">
        <f t="shared" si="62"/>
        <v>0</v>
      </c>
      <c r="BT20" s="76" t="s">
        <v>8</v>
      </c>
      <c r="BU20" s="30" t="s">
        <v>8</v>
      </c>
      <c r="BV20" s="35">
        <f t="shared" si="63"/>
        <v>0.81127597399131735</v>
      </c>
      <c r="BW20" s="33">
        <f t="shared" si="64"/>
        <v>5.3392949939474965E-2</v>
      </c>
      <c r="BX20" s="53">
        <f t="shared" si="65"/>
        <v>278952.87566304131</v>
      </c>
      <c r="BY20" s="132">
        <f t="shared" si="66"/>
        <v>0</v>
      </c>
      <c r="BZ20" s="76" t="s">
        <v>8</v>
      </c>
      <c r="CA20" s="30" t="s">
        <v>8</v>
      </c>
      <c r="CB20" s="35">
        <f t="shared" si="67"/>
        <v>0.81127597399131735</v>
      </c>
      <c r="CC20" s="33">
        <f t="shared" si="68"/>
        <v>5.3392949939474965E-2</v>
      </c>
      <c r="CD20" s="53">
        <f t="shared" si="69"/>
        <v>278952.87566304131</v>
      </c>
      <c r="CE20" s="132">
        <f t="shared" si="70"/>
        <v>0</v>
      </c>
      <c r="CF20" s="76" t="s">
        <v>8</v>
      </c>
      <c r="CG20" s="30" t="s">
        <v>8</v>
      </c>
      <c r="CH20" s="35">
        <f t="shared" si="71"/>
        <v>0.81127597399131735</v>
      </c>
      <c r="CI20" s="33">
        <f t="shared" si="72"/>
        <v>5.3392949939474965E-2</v>
      </c>
      <c r="CJ20" s="53">
        <f t="shared" si="73"/>
        <v>278952.87566304131</v>
      </c>
      <c r="CK20" s="132">
        <f t="shared" si="74"/>
        <v>0</v>
      </c>
      <c r="CL20" s="76" t="s">
        <v>8</v>
      </c>
      <c r="CM20" s="30" t="s">
        <v>8</v>
      </c>
      <c r="CN20" s="35">
        <f t="shared" si="75"/>
        <v>0.81127597399131735</v>
      </c>
      <c r="CO20" s="33">
        <f t="shared" si="76"/>
        <v>5.3392949939474965E-2</v>
      </c>
      <c r="CP20" s="53">
        <f t="shared" si="77"/>
        <v>278952.87566304131</v>
      </c>
      <c r="CQ20" s="132">
        <f t="shared" si="78"/>
        <v>0</v>
      </c>
      <c r="CR20" s="76" t="s">
        <v>8</v>
      </c>
      <c r="CS20" s="30" t="s">
        <v>8</v>
      </c>
      <c r="CT20" s="35">
        <f t="shared" si="79"/>
        <v>0.81127597399131735</v>
      </c>
      <c r="CU20" s="33">
        <f t="shared" si="80"/>
        <v>5.3392949939474965E-2</v>
      </c>
      <c r="CV20" s="53">
        <f t="shared" si="81"/>
        <v>278952.87566304131</v>
      </c>
      <c r="CW20" s="132">
        <f t="shared" si="82"/>
        <v>0</v>
      </c>
      <c r="CX20" s="76" t="s">
        <v>8</v>
      </c>
      <c r="CY20" s="30" t="s">
        <v>8</v>
      </c>
      <c r="CZ20" s="35">
        <f t="shared" si="83"/>
        <v>0.81127597399131735</v>
      </c>
      <c r="DA20" s="33">
        <f t="shared" si="84"/>
        <v>5.3392949939474965E-2</v>
      </c>
      <c r="DB20" s="53">
        <f t="shared" si="85"/>
        <v>278952.87566304131</v>
      </c>
      <c r="DC20" s="132">
        <f t="shared" si="86"/>
        <v>0</v>
      </c>
      <c r="DD20" s="76" t="s">
        <v>8</v>
      </c>
      <c r="DE20" s="30" t="s">
        <v>8</v>
      </c>
      <c r="DF20" s="35">
        <f t="shared" si="87"/>
        <v>0.81127597399131735</v>
      </c>
      <c r="DG20" s="33">
        <f t="shared" si="88"/>
        <v>5.3392949939474965E-2</v>
      </c>
      <c r="DH20" s="53">
        <f t="shared" si="89"/>
        <v>278952.87566304131</v>
      </c>
      <c r="DI20" s="132">
        <f t="shared" si="90"/>
        <v>0</v>
      </c>
      <c r="DJ20" s="76" t="s">
        <v>8</v>
      </c>
      <c r="DK20" s="30" t="s">
        <v>8</v>
      </c>
      <c r="DL20" s="35">
        <f t="shared" si="91"/>
        <v>0.81127597399131735</v>
      </c>
      <c r="DM20" s="51">
        <f t="shared" si="92"/>
        <v>5.3392949939474965E-2</v>
      </c>
      <c r="DN20" s="53">
        <f t="shared" si="93"/>
        <v>278952.87566304131</v>
      </c>
      <c r="DO20" s="132">
        <f t="shared" si="94"/>
        <v>0</v>
      </c>
      <c r="DP20" s="76" t="s">
        <v>8</v>
      </c>
      <c r="DQ20" s="30" t="s">
        <v>8</v>
      </c>
      <c r="DR20" s="35">
        <f t="shared" si="95"/>
        <v>0.81127597399131735</v>
      </c>
      <c r="DS20" s="51">
        <f t="shared" si="96"/>
        <v>5.3392949939474965E-2</v>
      </c>
      <c r="DT20" s="53">
        <f t="shared" si="144"/>
        <v>278952.87566304131</v>
      </c>
      <c r="DU20" s="132">
        <f t="shared" si="97"/>
        <v>0</v>
      </c>
      <c r="DV20" s="76" t="s">
        <v>8</v>
      </c>
      <c r="DW20" s="30" t="s">
        <v>8</v>
      </c>
      <c r="DX20" s="35">
        <f t="shared" si="98"/>
        <v>0.81127597399131735</v>
      </c>
      <c r="DY20" s="33">
        <f t="shared" si="99"/>
        <v>5.3392949939474965E-2</v>
      </c>
      <c r="DZ20" s="34">
        <f t="shared" si="100"/>
        <v>278952.87566304131</v>
      </c>
      <c r="EA20" s="80">
        <f t="shared" si="101"/>
        <v>0</v>
      </c>
      <c r="EB20" s="76" t="s">
        <v>8</v>
      </c>
      <c r="EC20" s="30" t="s">
        <v>8</v>
      </c>
      <c r="ED20" s="35">
        <f t="shared" si="102"/>
        <v>0.81127597399131735</v>
      </c>
      <c r="EE20" s="33">
        <f t="shared" si="103"/>
        <v>5.3392949939474965E-2</v>
      </c>
      <c r="EF20" s="34">
        <f t="shared" si="104"/>
        <v>278952.87566304131</v>
      </c>
      <c r="EG20" s="80">
        <f t="shared" si="105"/>
        <v>0</v>
      </c>
      <c r="EH20" s="76" t="s">
        <v>8</v>
      </c>
      <c r="EI20" s="30" t="s">
        <v>8</v>
      </c>
      <c r="EJ20" s="35">
        <f t="shared" si="106"/>
        <v>0.81127597399131735</v>
      </c>
      <c r="EK20" s="33">
        <f t="shared" si="107"/>
        <v>5.3392949939474965E-2</v>
      </c>
      <c r="EL20" s="34">
        <f t="shared" si="108"/>
        <v>278952.87566304131</v>
      </c>
      <c r="EM20" s="80">
        <f t="shared" si="109"/>
        <v>0</v>
      </c>
      <c r="EN20" s="76" t="s">
        <v>8</v>
      </c>
      <c r="EO20" s="30" t="s">
        <v>8</v>
      </c>
      <c r="EP20" s="35">
        <f t="shared" si="110"/>
        <v>0.81127597399131735</v>
      </c>
      <c r="EQ20" s="51">
        <f t="shared" si="111"/>
        <v>5.3392949939474965E-2</v>
      </c>
      <c r="ER20" s="34">
        <f t="shared" si="112"/>
        <v>278952.87566304131</v>
      </c>
      <c r="ES20" s="80">
        <f t="shared" si="113"/>
        <v>0</v>
      </c>
      <c r="ET20" s="76" t="s">
        <v>8</v>
      </c>
      <c r="EU20" s="30" t="s">
        <v>8</v>
      </c>
      <c r="EV20" s="35">
        <f t="shared" si="114"/>
        <v>0.81127597399131735</v>
      </c>
      <c r="EW20" s="33">
        <f t="shared" si="115"/>
        <v>5.3392949939474965E-2</v>
      </c>
      <c r="EX20" s="34">
        <f t="shared" si="116"/>
        <v>278952.87566304131</v>
      </c>
      <c r="EY20" s="80">
        <f t="shared" si="117"/>
        <v>0</v>
      </c>
      <c r="EZ20" s="76" t="s">
        <v>8</v>
      </c>
      <c r="FA20" s="30" t="s">
        <v>8</v>
      </c>
      <c r="FB20" s="35">
        <f t="shared" si="118"/>
        <v>0.81127597399131735</v>
      </c>
      <c r="FC20" s="33">
        <f t="shared" si="119"/>
        <v>5.3392949939474965E-2</v>
      </c>
      <c r="FD20" s="34">
        <f t="shared" si="120"/>
        <v>278952.87566304131</v>
      </c>
      <c r="FE20" s="80">
        <f t="shared" si="121"/>
        <v>0</v>
      </c>
      <c r="FF20" s="76" t="s">
        <v>8</v>
      </c>
      <c r="FG20" s="30" t="s">
        <v>8</v>
      </c>
      <c r="FH20" s="35">
        <f t="shared" si="122"/>
        <v>0.81127597399131735</v>
      </c>
      <c r="FI20" s="33">
        <f t="shared" si="123"/>
        <v>5.3392949939474965E-2</v>
      </c>
      <c r="FJ20" s="34">
        <f t="shared" si="124"/>
        <v>278952.87566304131</v>
      </c>
      <c r="FK20" s="80">
        <f t="shared" si="125"/>
        <v>0</v>
      </c>
      <c r="FL20" s="76" t="s">
        <v>8</v>
      </c>
      <c r="FM20" s="30" t="s">
        <v>8</v>
      </c>
      <c r="FN20" s="35">
        <f t="shared" si="126"/>
        <v>0.81127597399131735</v>
      </c>
      <c r="FO20" s="33">
        <f t="shared" si="127"/>
        <v>5.3392949939474965E-2</v>
      </c>
      <c r="FP20" s="34">
        <f t="shared" si="128"/>
        <v>278952.87566304131</v>
      </c>
      <c r="FQ20" s="80">
        <f t="shared" si="129"/>
        <v>0</v>
      </c>
      <c r="FR20" s="76" t="s">
        <v>8</v>
      </c>
      <c r="FS20" s="30" t="s">
        <v>8</v>
      </c>
      <c r="FT20" s="35">
        <f t="shared" si="130"/>
        <v>0.81127597399131735</v>
      </c>
      <c r="FU20" s="33">
        <f t="shared" si="131"/>
        <v>5.3392949939474965E-2</v>
      </c>
      <c r="FV20" s="34">
        <f t="shared" si="132"/>
        <v>278952.87566304131</v>
      </c>
      <c r="FW20" s="80">
        <f t="shared" si="133"/>
        <v>0</v>
      </c>
      <c r="FX20" s="76" t="s">
        <v>8</v>
      </c>
      <c r="FY20" s="30" t="s">
        <v>8</v>
      </c>
      <c r="FZ20" s="35">
        <f t="shared" si="134"/>
        <v>0.81127597399131735</v>
      </c>
      <c r="GA20" s="33">
        <f t="shared" si="135"/>
        <v>5.3392949939474965E-2</v>
      </c>
      <c r="GB20" s="34">
        <f t="shared" si="136"/>
        <v>278952.87566304131</v>
      </c>
      <c r="GC20" s="80">
        <f t="shared" si="137"/>
        <v>0</v>
      </c>
      <c r="GD20" s="76" t="s">
        <v>8</v>
      </c>
      <c r="GE20" s="30" t="s">
        <v>8</v>
      </c>
      <c r="GF20" s="35">
        <f t="shared" si="138"/>
        <v>0.81127597399131735</v>
      </c>
      <c r="GG20" s="33">
        <f t="shared" si="139"/>
        <v>5.3392949939474965E-2</v>
      </c>
      <c r="GH20" s="34">
        <f t="shared" si="140"/>
        <v>278952.87566304131</v>
      </c>
      <c r="GI20" s="132">
        <f t="shared" si="141"/>
        <v>0</v>
      </c>
      <c r="GJ20" s="168">
        <f t="shared" si="145"/>
        <v>583216.95449416491</v>
      </c>
      <c r="GK20" s="166">
        <f t="shared" si="146"/>
        <v>946902.57689014613</v>
      </c>
      <c r="GL20" s="86">
        <f t="shared" si="142"/>
        <v>0.81127597399131746</v>
      </c>
      <c r="GN20" s="214">
        <v>946902.58</v>
      </c>
    </row>
    <row r="21" spans="1:196" s="25" customFormat="1" ht="16.5" thickBot="1" x14ac:dyDescent="0.25">
      <c r="A21" s="185" t="s">
        <v>185</v>
      </c>
      <c r="B21" s="156" t="s">
        <v>8</v>
      </c>
      <c r="C21" s="156" t="s">
        <v>8</v>
      </c>
      <c r="D21" s="156" t="s">
        <v>8</v>
      </c>
      <c r="E21" s="156" t="s">
        <v>8</v>
      </c>
      <c r="F21" s="156" t="s">
        <v>8</v>
      </c>
      <c r="G21" s="141">
        <f>'Исходные данные 25 г.'!C23</f>
        <v>402</v>
      </c>
      <c r="H21" s="49">
        <f>'Исходные данные 2026 г. '!D23</f>
        <v>127590</v>
      </c>
      <c r="I21" s="143">
        <f>'Расчет КРП'!H19</f>
        <v>5.6616105593778903</v>
      </c>
      <c r="J21" s="144" t="s">
        <v>8</v>
      </c>
      <c r="K21" s="145">
        <f t="shared" si="22"/>
        <v>8.9520060374073882E-2</v>
      </c>
      <c r="L21" s="146">
        <f t="shared" si="23"/>
        <v>390913.42300316697</v>
      </c>
      <c r="M21" s="147">
        <f t="shared" si="24"/>
        <v>0.36379385321269281</v>
      </c>
      <c r="N21" s="148" t="s">
        <v>8</v>
      </c>
      <c r="O21" s="149">
        <f t="shared" si="25"/>
        <v>7.0910107556031721E-2</v>
      </c>
      <c r="P21" s="34">
        <f t="shared" si="143"/>
        <v>258004.0649483554</v>
      </c>
      <c r="Q21" s="150">
        <f t="shared" si="26"/>
        <v>258004.0649483554</v>
      </c>
      <c r="R21" s="161" t="s">
        <v>8</v>
      </c>
      <c r="S21" s="148" t="s">
        <v>8</v>
      </c>
      <c r="T21" s="151">
        <f t="shared" si="27"/>
        <v>0.54481540247935356</v>
      </c>
      <c r="U21" s="149">
        <f t="shared" si="28"/>
        <v>7.657619230845647E-2</v>
      </c>
      <c r="V21" s="53">
        <f t="shared" si="29"/>
        <v>338841.99647548894</v>
      </c>
      <c r="W21" s="150">
        <f t="shared" si="30"/>
        <v>338841.99647548894</v>
      </c>
      <c r="X21" s="140" t="s">
        <v>8</v>
      </c>
      <c r="Y21" s="148" t="s">
        <v>8</v>
      </c>
      <c r="Z21" s="151">
        <f t="shared" si="31"/>
        <v>0.78255469224937868</v>
      </c>
      <c r="AA21" s="149">
        <f t="shared" si="32"/>
        <v>-2.077436799987864E-2</v>
      </c>
      <c r="AB21" s="53">
        <f t="shared" si="33"/>
        <v>0</v>
      </c>
      <c r="AC21" s="150">
        <f t="shared" si="34"/>
        <v>0</v>
      </c>
      <c r="AD21" s="140" t="s">
        <v>8</v>
      </c>
      <c r="AE21" s="148" t="s">
        <v>8</v>
      </c>
      <c r="AF21" s="151">
        <f t="shared" si="35"/>
        <v>0.78255469224937868</v>
      </c>
      <c r="AG21" s="149">
        <f t="shared" si="36"/>
        <v>8.211423168141363E-2</v>
      </c>
      <c r="AH21" s="53">
        <f t="shared" si="37"/>
        <v>459931.28502380592</v>
      </c>
      <c r="AI21" s="150">
        <f t="shared" si="38"/>
        <v>0</v>
      </c>
      <c r="AJ21" s="140" t="s">
        <v>8</v>
      </c>
      <c r="AK21" s="148" t="s">
        <v>8</v>
      </c>
      <c r="AL21" s="151">
        <f t="shared" si="39"/>
        <v>0.78255469224937868</v>
      </c>
      <c r="AM21" s="149">
        <f t="shared" si="40"/>
        <v>8.211423168141363E-2</v>
      </c>
      <c r="AN21" s="53">
        <f t="shared" si="41"/>
        <v>459931.28502380592</v>
      </c>
      <c r="AO21" s="150">
        <f t="shared" si="42"/>
        <v>0</v>
      </c>
      <c r="AP21" s="140" t="s">
        <v>8</v>
      </c>
      <c r="AQ21" s="148" t="s">
        <v>8</v>
      </c>
      <c r="AR21" s="151">
        <f t="shared" si="43"/>
        <v>0.78255469224937868</v>
      </c>
      <c r="AS21" s="149">
        <f t="shared" si="44"/>
        <v>8.211423168141363E-2</v>
      </c>
      <c r="AT21" s="53">
        <f t="shared" si="45"/>
        <v>459931.28502380592</v>
      </c>
      <c r="AU21" s="150">
        <f t="shared" si="46"/>
        <v>0</v>
      </c>
      <c r="AV21" s="140" t="s">
        <v>8</v>
      </c>
      <c r="AW21" s="148" t="s">
        <v>8</v>
      </c>
      <c r="AX21" s="151">
        <f t="shared" si="47"/>
        <v>0.78255469224937868</v>
      </c>
      <c r="AY21" s="149">
        <f t="shared" si="48"/>
        <v>8.211423168141363E-2</v>
      </c>
      <c r="AZ21" s="53">
        <f t="shared" si="49"/>
        <v>459931.28502380592</v>
      </c>
      <c r="BA21" s="150">
        <f t="shared" si="50"/>
        <v>0</v>
      </c>
      <c r="BB21" s="140" t="s">
        <v>8</v>
      </c>
      <c r="BC21" s="148" t="s">
        <v>8</v>
      </c>
      <c r="BD21" s="151">
        <f t="shared" si="51"/>
        <v>0.78255469224937868</v>
      </c>
      <c r="BE21" s="149">
        <f t="shared" si="52"/>
        <v>8.211423168141363E-2</v>
      </c>
      <c r="BF21" s="53">
        <f t="shared" si="53"/>
        <v>459931.28502380592</v>
      </c>
      <c r="BG21" s="150">
        <f t="shared" si="54"/>
        <v>0</v>
      </c>
      <c r="BH21" s="140" t="s">
        <v>8</v>
      </c>
      <c r="BI21" s="148" t="s">
        <v>8</v>
      </c>
      <c r="BJ21" s="151">
        <f t="shared" si="55"/>
        <v>0.78255469224937868</v>
      </c>
      <c r="BK21" s="149">
        <f t="shared" si="56"/>
        <v>8.211423168141363E-2</v>
      </c>
      <c r="BL21" s="53">
        <f t="shared" si="57"/>
        <v>459931.28502380592</v>
      </c>
      <c r="BM21" s="150">
        <f t="shared" si="58"/>
        <v>0</v>
      </c>
      <c r="BN21" s="140" t="s">
        <v>8</v>
      </c>
      <c r="BO21" s="148" t="s">
        <v>8</v>
      </c>
      <c r="BP21" s="151">
        <f t="shared" si="59"/>
        <v>0.78255469224937868</v>
      </c>
      <c r="BQ21" s="149">
        <f t="shared" si="60"/>
        <v>8.211423168141363E-2</v>
      </c>
      <c r="BR21" s="53">
        <f t="shared" si="61"/>
        <v>459931.28502380592</v>
      </c>
      <c r="BS21" s="152">
        <f t="shared" si="62"/>
        <v>0</v>
      </c>
      <c r="BT21" s="140" t="s">
        <v>8</v>
      </c>
      <c r="BU21" s="148" t="s">
        <v>8</v>
      </c>
      <c r="BV21" s="151">
        <f t="shared" si="63"/>
        <v>0.78255469224937868</v>
      </c>
      <c r="BW21" s="149">
        <f t="shared" si="64"/>
        <v>8.211423168141363E-2</v>
      </c>
      <c r="BX21" s="53">
        <f t="shared" si="65"/>
        <v>459931.28502380592</v>
      </c>
      <c r="BY21" s="152">
        <f t="shared" si="66"/>
        <v>0</v>
      </c>
      <c r="BZ21" s="140" t="s">
        <v>8</v>
      </c>
      <c r="CA21" s="148" t="s">
        <v>8</v>
      </c>
      <c r="CB21" s="151">
        <f t="shared" si="67"/>
        <v>0.78255469224937868</v>
      </c>
      <c r="CC21" s="149">
        <f t="shared" si="68"/>
        <v>8.211423168141363E-2</v>
      </c>
      <c r="CD21" s="53">
        <f t="shared" si="69"/>
        <v>459931.28502380592</v>
      </c>
      <c r="CE21" s="152">
        <f t="shared" si="70"/>
        <v>0</v>
      </c>
      <c r="CF21" s="140" t="s">
        <v>8</v>
      </c>
      <c r="CG21" s="148" t="s">
        <v>8</v>
      </c>
      <c r="CH21" s="151">
        <f t="shared" si="71"/>
        <v>0.78255469224937868</v>
      </c>
      <c r="CI21" s="149">
        <f t="shared" si="72"/>
        <v>8.211423168141363E-2</v>
      </c>
      <c r="CJ21" s="53">
        <f t="shared" si="73"/>
        <v>459931.28502380592</v>
      </c>
      <c r="CK21" s="152">
        <f t="shared" si="74"/>
        <v>0</v>
      </c>
      <c r="CL21" s="140" t="s">
        <v>8</v>
      </c>
      <c r="CM21" s="148" t="s">
        <v>8</v>
      </c>
      <c r="CN21" s="151">
        <f t="shared" si="75"/>
        <v>0.78255469224937868</v>
      </c>
      <c r="CO21" s="149">
        <f t="shared" si="76"/>
        <v>8.211423168141363E-2</v>
      </c>
      <c r="CP21" s="53">
        <f t="shared" si="77"/>
        <v>459931.28502380592</v>
      </c>
      <c r="CQ21" s="152">
        <f t="shared" si="78"/>
        <v>0</v>
      </c>
      <c r="CR21" s="140" t="s">
        <v>8</v>
      </c>
      <c r="CS21" s="148" t="s">
        <v>8</v>
      </c>
      <c r="CT21" s="151">
        <f t="shared" si="79"/>
        <v>0.78255469224937868</v>
      </c>
      <c r="CU21" s="149">
        <f t="shared" si="80"/>
        <v>8.211423168141363E-2</v>
      </c>
      <c r="CV21" s="53">
        <f t="shared" si="81"/>
        <v>459931.28502380592</v>
      </c>
      <c r="CW21" s="152">
        <f t="shared" si="82"/>
        <v>0</v>
      </c>
      <c r="CX21" s="140" t="s">
        <v>8</v>
      </c>
      <c r="CY21" s="148" t="s">
        <v>8</v>
      </c>
      <c r="CZ21" s="151">
        <f t="shared" si="83"/>
        <v>0.78255469224937868</v>
      </c>
      <c r="DA21" s="149">
        <f t="shared" si="84"/>
        <v>8.211423168141363E-2</v>
      </c>
      <c r="DB21" s="53">
        <f t="shared" si="85"/>
        <v>459931.28502380592</v>
      </c>
      <c r="DC21" s="152">
        <f t="shared" si="86"/>
        <v>0</v>
      </c>
      <c r="DD21" s="140" t="s">
        <v>8</v>
      </c>
      <c r="DE21" s="148" t="s">
        <v>8</v>
      </c>
      <c r="DF21" s="151">
        <f t="shared" si="87"/>
        <v>0.78255469224937868</v>
      </c>
      <c r="DG21" s="149">
        <f t="shared" si="88"/>
        <v>8.211423168141363E-2</v>
      </c>
      <c r="DH21" s="53">
        <f t="shared" si="89"/>
        <v>459931.28502380592</v>
      </c>
      <c r="DI21" s="152">
        <f t="shared" si="90"/>
        <v>0</v>
      </c>
      <c r="DJ21" s="140" t="s">
        <v>8</v>
      </c>
      <c r="DK21" s="148" t="s">
        <v>8</v>
      </c>
      <c r="DL21" s="151">
        <f t="shared" si="91"/>
        <v>0.78255469224937868</v>
      </c>
      <c r="DM21" s="51">
        <f t="shared" si="92"/>
        <v>8.211423168141363E-2</v>
      </c>
      <c r="DN21" s="53">
        <f t="shared" si="93"/>
        <v>459931.28502380592</v>
      </c>
      <c r="DO21" s="152">
        <f t="shared" si="94"/>
        <v>0</v>
      </c>
      <c r="DP21" s="140" t="s">
        <v>8</v>
      </c>
      <c r="DQ21" s="148" t="s">
        <v>8</v>
      </c>
      <c r="DR21" s="151">
        <f t="shared" si="95"/>
        <v>0.78255469224937868</v>
      </c>
      <c r="DS21" s="51">
        <f t="shared" si="96"/>
        <v>8.211423168141363E-2</v>
      </c>
      <c r="DT21" s="53">
        <f t="shared" si="144"/>
        <v>459931.28502380592</v>
      </c>
      <c r="DU21" s="152">
        <f t="shared" si="97"/>
        <v>0</v>
      </c>
      <c r="DV21" s="140" t="s">
        <v>8</v>
      </c>
      <c r="DW21" s="148" t="s">
        <v>8</v>
      </c>
      <c r="DX21" s="200">
        <f t="shared" si="98"/>
        <v>0.78255469224937868</v>
      </c>
      <c r="DY21" s="201">
        <f t="shared" si="99"/>
        <v>8.211423168141363E-2</v>
      </c>
      <c r="DZ21" s="34">
        <f t="shared" si="100"/>
        <v>459931.28502380592</v>
      </c>
      <c r="EA21" s="150">
        <f t="shared" si="101"/>
        <v>0</v>
      </c>
      <c r="EB21" s="140" t="s">
        <v>8</v>
      </c>
      <c r="EC21" s="148" t="s">
        <v>8</v>
      </c>
      <c r="ED21" s="200">
        <f t="shared" si="102"/>
        <v>0.78255469224937868</v>
      </c>
      <c r="EE21" s="201">
        <f t="shared" si="103"/>
        <v>8.211423168141363E-2</v>
      </c>
      <c r="EF21" s="34">
        <f t="shared" si="104"/>
        <v>459931.28502380592</v>
      </c>
      <c r="EG21" s="150">
        <f t="shared" si="105"/>
        <v>0</v>
      </c>
      <c r="EH21" s="140" t="s">
        <v>8</v>
      </c>
      <c r="EI21" s="148" t="s">
        <v>8</v>
      </c>
      <c r="EJ21" s="200">
        <f t="shared" si="106"/>
        <v>0.78255469224937868</v>
      </c>
      <c r="EK21" s="201">
        <f t="shared" si="107"/>
        <v>8.211423168141363E-2</v>
      </c>
      <c r="EL21" s="34">
        <f t="shared" si="108"/>
        <v>459931.28502380592</v>
      </c>
      <c r="EM21" s="150">
        <f t="shared" si="109"/>
        <v>0</v>
      </c>
      <c r="EN21" s="140" t="s">
        <v>8</v>
      </c>
      <c r="EO21" s="148" t="s">
        <v>8</v>
      </c>
      <c r="EP21" s="200">
        <f t="shared" si="110"/>
        <v>0.78255469224937868</v>
      </c>
      <c r="EQ21" s="51">
        <f t="shared" si="111"/>
        <v>8.211423168141363E-2</v>
      </c>
      <c r="ER21" s="34">
        <f t="shared" si="112"/>
        <v>459931.28502380592</v>
      </c>
      <c r="ES21" s="150">
        <f t="shared" si="113"/>
        <v>0</v>
      </c>
      <c r="ET21" s="140" t="s">
        <v>8</v>
      </c>
      <c r="EU21" s="148" t="s">
        <v>8</v>
      </c>
      <c r="EV21" s="200">
        <f t="shared" si="114"/>
        <v>0.78255469224937868</v>
      </c>
      <c r="EW21" s="201">
        <f t="shared" si="115"/>
        <v>8.211423168141363E-2</v>
      </c>
      <c r="EX21" s="34">
        <f t="shared" si="116"/>
        <v>459931.28502380592</v>
      </c>
      <c r="EY21" s="150">
        <f t="shared" si="117"/>
        <v>0</v>
      </c>
      <c r="EZ21" s="140" t="s">
        <v>8</v>
      </c>
      <c r="FA21" s="148" t="s">
        <v>8</v>
      </c>
      <c r="FB21" s="200">
        <f t="shared" si="118"/>
        <v>0.78255469224937868</v>
      </c>
      <c r="FC21" s="201">
        <f t="shared" si="119"/>
        <v>8.211423168141363E-2</v>
      </c>
      <c r="FD21" s="34">
        <f t="shared" si="120"/>
        <v>459931.28502380592</v>
      </c>
      <c r="FE21" s="150">
        <f t="shared" si="121"/>
        <v>0</v>
      </c>
      <c r="FF21" s="140" t="s">
        <v>8</v>
      </c>
      <c r="FG21" s="148" t="s">
        <v>8</v>
      </c>
      <c r="FH21" s="200">
        <f t="shared" si="122"/>
        <v>0.78255469224937868</v>
      </c>
      <c r="FI21" s="201">
        <f t="shared" si="123"/>
        <v>8.211423168141363E-2</v>
      </c>
      <c r="FJ21" s="34">
        <f t="shared" si="124"/>
        <v>459931.28502380592</v>
      </c>
      <c r="FK21" s="150">
        <f t="shared" si="125"/>
        <v>0</v>
      </c>
      <c r="FL21" s="140" t="s">
        <v>8</v>
      </c>
      <c r="FM21" s="148" t="s">
        <v>8</v>
      </c>
      <c r="FN21" s="200">
        <f t="shared" si="126"/>
        <v>0.78255469224937868</v>
      </c>
      <c r="FO21" s="201">
        <f t="shared" si="127"/>
        <v>8.211423168141363E-2</v>
      </c>
      <c r="FP21" s="34">
        <f t="shared" si="128"/>
        <v>459931.28502380592</v>
      </c>
      <c r="FQ21" s="150">
        <f t="shared" si="129"/>
        <v>0</v>
      </c>
      <c r="FR21" s="140" t="s">
        <v>8</v>
      </c>
      <c r="FS21" s="148" t="s">
        <v>8</v>
      </c>
      <c r="FT21" s="200">
        <f t="shared" si="130"/>
        <v>0.78255469224937868</v>
      </c>
      <c r="FU21" s="201">
        <f t="shared" si="131"/>
        <v>8.211423168141363E-2</v>
      </c>
      <c r="FV21" s="34">
        <f t="shared" si="132"/>
        <v>459931.28502380592</v>
      </c>
      <c r="FW21" s="150">
        <f t="shared" si="133"/>
        <v>0</v>
      </c>
      <c r="FX21" s="140" t="s">
        <v>8</v>
      </c>
      <c r="FY21" s="148" t="s">
        <v>8</v>
      </c>
      <c r="FZ21" s="200">
        <f t="shared" si="134"/>
        <v>0.78255469224937868</v>
      </c>
      <c r="GA21" s="201">
        <f t="shared" si="135"/>
        <v>8.211423168141363E-2</v>
      </c>
      <c r="GB21" s="34">
        <f t="shared" si="136"/>
        <v>459931.28502380592</v>
      </c>
      <c r="GC21" s="150">
        <f t="shared" si="137"/>
        <v>0</v>
      </c>
      <c r="GD21" s="140" t="s">
        <v>8</v>
      </c>
      <c r="GE21" s="148" t="s">
        <v>8</v>
      </c>
      <c r="GF21" s="200">
        <f t="shared" si="138"/>
        <v>0.78255469224937868</v>
      </c>
      <c r="GG21" s="201">
        <f t="shared" si="139"/>
        <v>8.211423168141363E-2</v>
      </c>
      <c r="GH21" s="34">
        <f t="shared" si="140"/>
        <v>459931.28502380592</v>
      </c>
      <c r="GI21" s="152">
        <f t="shared" si="141"/>
        <v>0</v>
      </c>
      <c r="GJ21" s="168">
        <f t="shared" si="145"/>
        <v>596846.06142384431</v>
      </c>
      <c r="GK21" s="166">
        <f t="shared" si="146"/>
        <v>987759.48442701134</v>
      </c>
      <c r="GL21" s="86">
        <f t="shared" si="142"/>
        <v>0.78255469224937879</v>
      </c>
      <c r="GN21" s="214">
        <v>987759.48</v>
      </c>
    </row>
    <row r="22" spans="1:196" s="29" customFormat="1" ht="16.5" thickBot="1" x14ac:dyDescent="0.3">
      <c r="A22" s="108" t="s">
        <v>6</v>
      </c>
      <c r="B22" s="129">
        <v>16800874</v>
      </c>
      <c r="C22" s="127">
        <v>53</v>
      </c>
      <c r="D22" s="81">
        <f>B22*C22/100</f>
        <v>8904463.2200000007</v>
      </c>
      <c r="E22" s="115">
        <f>100-C22</f>
        <v>47</v>
      </c>
      <c r="F22" s="81">
        <f>B22-D22</f>
        <v>7896410.7799999993</v>
      </c>
      <c r="G22" s="114">
        <f>SUM(G9:G21)</f>
        <v>9157</v>
      </c>
      <c r="H22" s="114">
        <f>SUM(H9:H21)</f>
        <v>5734340</v>
      </c>
      <c r="I22" s="45" t="s">
        <v>8</v>
      </c>
      <c r="J22" s="175">
        <f>H22/G22</f>
        <v>626.22474609588289</v>
      </c>
      <c r="K22" s="125" t="s">
        <v>8</v>
      </c>
      <c r="L22" s="78">
        <f>SUM(L9:L21)</f>
        <v>8904463.2200000007</v>
      </c>
      <c r="M22" s="74" t="s">
        <v>8</v>
      </c>
      <c r="N22" s="46">
        <f>(SUMIF(M9:M21,"&lt;1")+1)/(COUNTIFS(M9:M21,"&lt;1")+1)</f>
        <v>0.43470396076872453</v>
      </c>
      <c r="O22" s="47" t="s">
        <v>8</v>
      </c>
      <c r="P22" s="44">
        <f>SUM(P9:P21)</f>
        <v>3164091.8809789973</v>
      </c>
      <c r="Q22" s="44">
        <f>SUM(Q9:Q21)</f>
        <v>3164091.8809789973</v>
      </c>
      <c r="R22" s="87">
        <f>F22-Q22</f>
        <v>4732318.8990210015</v>
      </c>
      <c r="S22" s="46">
        <f>(SUMIF(T9:T21,"&lt;1")+1)/(COUNTIFS(T9:T21,"&lt;1")+1)</f>
        <v>0.62139159478781003</v>
      </c>
      <c r="T22" s="47" t="s">
        <v>8</v>
      </c>
      <c r="U22" s="47" t="s">
        <v>8</v>
      </c>
      <c r="V22" s="44">
        <f>SUM(V9:V21)</f>
        <v>3214618.1431301879</v>
      </c>
      <c r="W22" s="44">
        <f>SUM(W9:W21)</f>
        <v>3214618.1431301879</v>
      </c>
      <c r="X22" s="87">
        <f>R22-W22</f>
        <v>1517700.7558908137</v>
      </c>
      <c r="Y22" s="46">
        <f>(SUMIF(Z9:Z21,"&lt;1")+1)/(COUNTIFS(Z9:Z21,"&lt;1")+1)</f>
        <v>0.76178032424950004</v>
      </c>
      <c r="Z22" s="47" t="s">
        <v>8</v>
      </c>
      <c r="AA22" s="47" t="s">
        <v>8</v>
      </c>
      <c r="AB22" s="44">
        <f>SUM(AB9:AB21)</f>
        <v>2242192.1828079764</v>
      </c>
      <c r="AC22" s="44">
        <f>SUM(AC9:AC21)</f>
        <v>1517700.7558908137</v>
      </c>
      <c r="AD22" s="87">
        <f>X22-AC22</f>
        <v>0</v>
      </c>
      <c r="AE22" s="46">
        <f>(SUMIF(AF9:AF21,"&lt;1")+1)/(COUNTIFS(AF9:AF21,"&lt;1")+1)</f>
        <v>0.86466892393079231</v>
      </c>
      <c r="AF22" s="47" t="s">
        <v>8</v>
      </c>
      <c r="AG22" s="47" t="s">
        <v>8</v>
      </c>
      <c r="AH22" s="44">
        <f>SUM(AH9:AH21)</f>
        <v>4380966.8276735209</v>
      </c>
      <c r="AI22" s="44">
        <f>SUM(AI9:AI21)</f>
        <v>0</v>
      </c>
      <c r="AJ22" s="87">
        <f>AD22-AI22</f>
        <v>0</v>
      </c>
      <c r="AK22" s="46">
        <f>(SUMIF(AL9:AL21,"&lt;1")+1)/(COUNTIFS(AL9:AL21,"&lt;1")+1)</f>
        <v>0.86466892393079231</v>
      </c>
      <c r="AL22" s="47" t="s">
        <v>8</v>
      </c>
      <c r="AM22" s="47" t="s">
        <v>8</v>
      </c>
      <c r="AN22" s="44">
        <f>SUM(AN9:AN21)</f>
        <v>4380966.8276735209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0.86466892393079231</v>
      </c>
      <c r="AR22" s="47" t="s">
        <v>8</v>
      </c>
      <c r="AS22" s="47" t="s">
        <v>8</v>
      </c>
      <c r="AT22" s="44">
        <f>SUM(AT9:AT21)</f>
        <v>4380966.8276735209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0.86466892393079231</v>
      </c>
      <c r="AX22" s="47" t="s">
        <v>8</v>
      </c>
      <c r="AY22" s="47" t="s">
        <v>8</v>
      </c>
      <c r="AZ22" s="44">
        <f>SUM(AZ9:AZ21)</f>
        <v>4380966.8276735209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0.86466892393079231</v>
      </c>
      <c r="BD22" s="47" t="s">
        <v>8</v>
      </c>
      <c r="BE22" s="47" t="s">
        <v>8</v>
      </c>
      <c r="BF22" s="44">
        <f>SUM(BF9:BF21)</f>
        <v>4380966.8276735209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0.86466892393079231</v>
      </c>
      <c r="BJ22" s="47" t="s">
        <v>8</v>
      </c>
      <c r="BK22" s="47" t="s">
        <v>8</v>
      </c>
      <c r="BL22" s="44">
        <f>SUM(BL9:BL21)</f>
        <v>4380966.8276735209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0.86466892393079231</v>
      </c>
      <c r="BP22" s="47" t="s">
        <v>8</v>
      </c>
      <c r="BQ22" s="47" t="s">
        <v>8</v>
      </c>
      <c r="BR22" s="44">
        <f>SUM(BR9:BR21)</f>
        <v>4380966.8276735209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0.86466892393079231</v>
      </c>
      <c r="BV22" s="47" t="s">
        <v>8</v>
      </c>
      <c r="BW22" s="47" t="s">
        <v>8</v>
      </c>
      <c r="BX22" s="44">
        <f>SUM(BX9:BX21)</f>
        <v>4380966.8276735209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0.86466892393079231</v>
      </c>
      <c r="CB22" s="47" t="s">
        <v>8</v>
      </c>
      <c r="CC22" s="47" t="s">
        <v>8</v>
      </c>
      <c r="CD22" s="44">
        <f>SUM(CD9:CD21)</f>
        <v>4380966.8276735209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0.86466892393079231</v>
      </c>
      <c r="CH22" s="47" t="s">
        <v>8</v>
      </c>
      <c r="CI22" s="47" t="s">
        <v>8</v>
      </c>
      <c r="CJ22" s="44">
        <f>SUM(CJ9:CJ21)</f>
        <v>4380966.8276735209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0.86466892393079231</v>
      </c>
      <c r="CN22" s="47" t="s">
        <v>8</v>
      </c>
      <c r="CO22" s="47" t="s">
        <v>8</v>
      </c>
      <c r="CP22" s="44">
        <f>SUM(CP9:CP21)</f>
        <v>4380966.8276735209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0.86466892393079231</v>
      </c>
      <c r="CT22" s="47" t="s">
        <v>8</v>
      </c>
      <c r="CU22" s="47" t="s">
        <v>8</v>
      </c>
      <c r="CV22" s="44">
        <f>SUM(CV9:CV21)</f>
        <v>4380966.8276735209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0.86466892393079231</v>
      </c>
      <c r="CZ22" s="47" t="s">
        <v>8</v>
      </c>
      <c r="DA22" s="47" t="s">
        <v>8</v>
      </c>
      <c r="DB22" s="44">
        <f>SUM(DB9:DB21)</f>
        <v>4380966.8276735209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0.86466892393079231</v>
      </c>
      <c r="DF22" s="47" t="s">
        <v>8</v>
      </c>
      <c r="DG22" s="47" t="s">
        <v>8</v>
      </c>
      <c r="DH22" s="44">
        <f>SUM(DH9:DH21)</f>
        <v>4380966.8276735209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0.86466892393079231</v>
      </c>
      <c r="DL22" s="47" t="s">
        <v>8</v>
      </c>
      <c r="DM22" s="47" t="s">
        <v>8</v>
      </c>
      <c r="DN22" s="44">
        <f>SUM(DN9:DN21)</f>
        <v>4380966.8276735209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0.86466892393079231</v>
      </c>
      <c r="DR22" s="47" t="s">
        <v>8</v>
      </c>
      <c r="DS22" s="47" t="s">
        <v>8</v>
      </c>
      <c r="DT22" s="44">
        <f>SUM(DT9:DT21)</f>
        <v>4380966.8276735209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0.86466892393079231</v>
      </c>
      <c r="DX22" s="47" t="s">
        <v>8</v>
      </c>
      <c r="DY22" s="47" t="s">
        <v>8</v>
      </c>
      <c r="DZ22" s="153">
        <f>SUM(DZ9:DZ21)</f>
        <v>4380966.8276735209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0.86466892393079231</v>
      </c>
      <c r="ED22" s="47" t="s">
        <v>8</v>
      </c>
      <c r="EE22" s="47" t="s">
        <v>8</v>
      </c>
      <c r="EF22" s="153">
        <f>SUM(EF9:EF21)</f>
        <v>4380966.8276735209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0.86466892393079231</v>
      </c>
      <c r="EJ22" s="47" t="s">
        <v>8</v>
      </c>
      <c r="EK22" s="47" t="s">
        <v>8</v>
      </c>
      <c r="EL22" s="153">
        <f>SUM(EL9:EL21)</f>
        <v>4380966.8276735209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0.86466892393079231</v>
      </c>
      <c r="EP22" s="47" t="s">
        <v>8</v>
      </c>
      <c r="EQ22" s="47" t="s">
        <v>8</v>
      </c>
      <c r="ER22" s="153">
        <f>SUM(ER9:ER21)</f>
        <v>4380966.8276735209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0.86466892393079231</v>
      </c>
      <c r="EV22" s="47" t="s">
        <v>8</v>
      </c>
      <c r="EW22" s="47" t="s">
        <v>8</v>
      </c>
      <c r="EX22" s="153">
        <f>SUM(EX9:EX21)</f>
        <v>4380966.8276735209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0.86466892393079231</v>
      </c>
      <c r="FB22" s="47" t="s">
        <v>8</v>
      </c>
      <c r="FC22" s="47" t="s">
        <v>8</v>
      </c>
      <c r="FD22" s="153">
        <f>SUM(FD9:FD21)</f>
        <v>4380966.8276735209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0.86466892393079231</v>
      </c>
      <c r="FH22" s="47" t="s">
        <v>8</v>
      </c>
      <c r="FI22" s="47" t="s">
        <v>8</v>
      </c>
      <c r="FJ22" s="153">
        <f>SUM(FJ9:FJ21)</f>
        <v>4380966.8276735209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0.86466892393079231</v>
      </c>
      <c r="FN22" s="47" t="s">
        <v>8</v>
      </c>
      <c r="FO22" s="47" t="s">
        <v>8</v>
      </c>
      <c r="FP22" s="153">
        <f>SUM(FP9:FP21)</f>
        <v>4380966.8276735209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0.86466892393079231</v>
      </c>
      <c r="FT22" s="47" t="s">
        <v>8</v>
      </c>
      <c r="FU22" s="47" t="s">
        <v>8</v>
      </c>
      <c r="FV22" s="153">
        <f>SUM(FV9:FV21)</f>
        <v>4380966.8276735209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0.86466892393079231</v>
      </c>
      <c r="FZ22" s="47" t="s">
        <v>8</v>
      </c>
      <c r="GA22" s="47" t="s">
        <v>8</v>
      </c>
      <c r="GB22" s="153">
        <f>SUM(GB9:GB21)</f>
        <v>4380966.8276735209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0.86466892393079231</v>
      </c>
      <c r="GF22" s="47" t="s">
        <v>8</v>
      </c>
      <c r="GG22" s="47" t="s">
        <v>8</v>
      </c>
      <c r="GH22" s="153">
        <f>SUM(GH9:GH21)</f>
        <v>4380966.8276735209</v>
      </c>
      <c r="GI22" s="44">
        <f>SUM(GI9:GI21)</f>
        <v>0</v>
      </c>
      <c r="GJ22" s="179">
        <f>SUM(GJ9:GJ21)</f>
        <v>7896410.7799999993</v>
      </c>
      <c r="GK22" s="181">
        <f t="shared" si="146"/>
        <v>16800874</v>
      </c>
      <c r="GL22" s="182" t="s">
        <v>8</v>
      </c>
      <c r="GM22" s="25"/>
      <c r="GN22" s="215">
        <f>GN9+GN10+GN11+GN12+GN13+GN14+GN15+GN16+GN17+GN18+GN19+GN20+GN21</f>
        <v>16800873.994999997</v>
      </c>
    </row>
    <row r="24" spans="1:196" x14ac:dyDescent="0.2">
      <c r="P24" s="24"/>
    </row>
    <row r="26" spans="1:196" x14ac:dyDescent="0.2">
      <c r="GJ26" s="133"/>
      <c r="GK26" s="133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EH4:EM4"/>
    <mergeCell ref="CR4:CW4"/>
    <mergeCell ref="FX4:GC4"/>
    <mergeCell ref="GD4:GI4"/>
    <mergeCell ref="C5:D5"/>
    <mergeCell ref="E5:F5"/>
    <mergeCell ref="EN4:ES4"/>
    <mergeCell ref="ET4:EY4"/>
    <mergeCell ref="EZ4:FE4"/>
    <mergeCell ref="FF4:FK4"/>
    <mergeCell ref="FL4:FQ4"/>
    <mergeCell ref="FR4:FW4"/>
    <mergeCell ref="DD4:DI4"/>
    <mergeCell ref="DJ4:DO4"/>
    <mergeCell ref="DP4:DU4"/>
    <mergeCell ref="DV4:EA4"/>
    <mergeCell ref="EB4:EG4"/>
    <mergeCell ref="BN4:BS4"/>
    <mergeCell ref="BT4:BY4"/>
    <mergeCell ref="BZ4:CE4"/>
    <mergeCell ref="CF4:CK4"/>
    <mergeCell ref="CL4:CQ4"/>
    <mergeCell ref="CX4:DC4"/>
    <mergeCell ref="M3:BS3"/>
    <mergeCell ref="M4:Q4"/>
    <mergeCell ref="R4:W4"/>
    <mergeCell ref="X4:AC4"/>
    <mergeCell ref="AD4:AI4"/>
    <mergeCell ref="AJ4:AO4"/>
    <mergeCell ref="AP4:AU4"/>
    <mergeCell ref="AV4:BA4"/>
    <mergeCell ref="BB4:BG4"/>
    <mergeCell ref="BH4:BM4"/>
    <mergeCell ref="GN3:GN5"/>
    <mergeCell ref="A3:A6"/>
    <mergeCell ref="B3:B5"/>
    <mergeCell ref="C3:F3"/>
    <mergeCell ref="G3:J3"/>
    <mergeCell ref="K3:K5"/>
    <mergeCell ref="GJ3:GJ5"/>
    <mergeCell ref="GK3:GK5"/>
    <mergeCell ref="GL3:GL5"/>
    <mergeCell ref="C4:D4"/>
    <mergeCell ref="E4:F4"/>
    <mergeCell ref="G4:G5"/>
    <mergeCell ref="H4:H5"/>
    <mergeCell ref="I4:I5"/>
    <mergeCell ref="J4:J5"/>
    <mergeCell ref="L4:L5"/>
  </mergeCells>
  <printOptions horizontalCentered="1"/>
  <pageMargins left="0.27" right="0.17" top="0.39" bottom="0.16" header="0.73" footer="0.25"/>
  <pageSetup paperSize="9" scale="52" firstPageNumber="0" pageOrder="overThenDown" orientation="landscape" r:id="rId1"/>
  <headerFooter alignWithMargins="0"/>
  <colBreaks count="1" manualBreakCount="1">
    <brk id="181" max="2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4"/>
  <sheetViews>
    <sheetView view="pageBreakPreview" zoomScaleNormal="90" zoomScaleSheetLayoutView="100" workbookViewId="0">
      <selection activeCell="D24" sqref="D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9" width="19.42578125" style="1" customWidth="1"/>
    <col min="10" max="235" width="9.140625" style="1"/>
  </cols>
  <sheetData>
    <row r="2" spans="1:9" s="4" customFormat="1" ht="27" customHeight="1" x14ac:dyDescent="0.2">
      <c r="A2" s="236" t="s">
        <v>72</v>
      </c>
      <c r="B2" s="236"/>
      <c r="C2" s="236"/>
      <c r="D2" s="236"/>
      <c r="E2" s="236"/>
      <c r="F2" s="236"/>
      <c r="G2" s="236"/>
      <c r="H2" s="236"/>
      <c r="I2" s="236"/>
    </row>
    <row r="3" spans="1:9" s="4" customFormat="1" ht="16.5" x14ac:dyDescent="0.2">
      <c r="B3" s="229"/>
      <c r="C3" s="229"/>
      <c r="D3" s="229"/>
      <c r="E3" s="229"/>
      <c r="F3" s="229"/>
      <c r="G3" s="229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43" t="s">
        <v>0</v>
      </c>
      <c r="B5" s="230" t="s">
        <v>7</v>
      </c>
      <c r="C5" s="233" t="s">
        <v>56</v>
      </c>
      <c r="D5" s="234"/>
      <c r="E5" s="234"/>
      <c r="F5" s="234"/>
      <c r="G5" s="234"/>
      <c r="H5" s="234"/>
      <c r="I5" s="235"/>
    </row>
    <row r="6" spans="1:9" s="7" customFormat="1" ht="51.75" customHeight="1" x14ac:dyDescent="0.2">
      <c r="A6" s="244"/>
      <c r="B6" s="231"/>
      <c r="C6" s="97" t="s">
        <v>193</v>
      </c>
      <c r="D6" s="97" t="s">
        <v>62</v>
      </c>
      <c r="E6" s="237" t="s">
        <v>70</v>
      </c>
      <c r="F6" s="238"/>
      <c r="G6" s="238"/>
      <c r="H6" s="238"/>
      <c r="I6" s="239"/>
    </row>
    <row r="7" spans="1:9" s="7" customFormat="1" ht="19.5" customHeight="1" thickBot="1" x14ac:dyDescent="0.25">
      <c r="A7" s="244"/>
      <c r="B7" s="231"/>
      <c r="C7" s="98" t="s">
        <v>213</v>
      </c>
      <c r="D7" s="100" t="s">
        <v>217</v>
      </c>
      <c r="E7" s="240"/>
      <c r="F7" s="241"/>
      <c r="G7" s="241"/>
      <c r="H7" s="241"/>
      <c r="I7" s="242"/>
    </row>
    <row r="8" spans="1:9" s="7" customFormat="1" ht="69.75" customHeight="1" thickBot="1" x14ac:dyDescent="0.25">
      <c r="A8" s="244"/>
      <c r="B8" s="232"/>
      <c r="C8" s="99" t="s">
        <v>1</v>
      </c>
      <c r="D8" s="99" t="s">
        <v>2</v>
      </c>
      <c r="E8" s="101" t="s">
        <v>186</v>
      </c>
      <c r="F8" s="102" t="s">
        <v>187</v>
      </c>
      <c r="G8" s="102" t="s">
        <v>188</v>
      </c>
      <c r="H8" s="102" t="s">
        <v>189</v>
      </c>
      <c r="I8" s="103" t="s">
        <v>196</v>
      </c>
    </row>
    <row r="9" spans="1:9" s="8" customFormat="1" thickBot="1" x14ac:dyDescent="0.25">
      <c r="A9" s="245"/>
      <c r="B9" s="58" t="s">
        <v>3</v>
      </c>
      <c r="C9" s="56" t="s">
        <v>5</v>
      </c>
      <c r="D9" s="56" t="s">
        <v>4</v>
      </c>
      <c r="E9" s="95" t="s">
        <v>190</v>
      </c>
      <c r="F9" s="95" t="s">
        <v>191</v>
      </c>
      <c r="G9" s="95" t="s">
        <v>202</v>
      </c>
      <c r="H9" s="95" t="s">
        <v>201</v>
      </c>
      <c r="I9" s="96" t="s">
        <v>192</v>
      </c>
    </row>
    <row r="10" spans="1:9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9</v>
      </c>
      <c r="I10" s="39">
        <v>10</v>
      </c>
    </row>
    <row r="11" spans="1:9" ht="30" x14ac:dyDescent="0.25">
      <c r="A11" s="40">
        <v>1</v>
      </c>
      <c r="B11" s="183" t="s">
        <v>173</v>
      </c>
      <c r="C11" s="186">
        <v>862</v>
      </c>
      <c r="D11" s="187">
        <v>261970</v>
      </c>
      <c r="E11" s="189">
        <v>54</v>
      </c>
      <c r="F11" s="189">
        <v>4</v>
      </c>
      <c r="G11" s="205">
        <f t="shared" ref="G11:G23" si="0">C11/H11</f>
        <v>0.40130353817504655</v>
      </c>
      <c r="H11" s="225">
        <v>2148</v>
      </c>
      <c r="I11" s="209">
        <v>168200</v>
      </c>
    </row>
    <row r="12" spans="1:9" ht="30" x14ac:dyDescent="0.25">
      <c r="A12" s="41">
        <v>2</v>
      </c>
      <c r="B12" s="184" t="s">
        <v>174</v>
      </c>
      <c r="C12" s="188">
        <v>188</v>
      </c>
      <c r="D12" s="18">
        <v>65760</v>
      </c>
      <c r="E12" s="126">
        <v>23</v>
      </c>
      <c r="F12" s="126">
        <v>3</v>
      </c>
      <c r="G12" s="206">
        <f t="shared" si="0"/>
        <v>0.16982836495031617</v>
      </c>
      <c r="H12" s="226">
        <v>1107</v>
      </c>
      <c r="I12" s="210">
        <v>78000</v>
      </c>
    </row>
    <row r="13" spans="1:9" ht="30" x14ac:dyDescent="0.25">
      <c r="A13" s="41">
        <v>3</v>
      </c>
      <c r="B13" s="184" t="s">
        <v>175</v>
      </c>
      <c r="C13" s="188">
        <v>221</v>
      </c>
      <c r="D13" s="18">
        <v>92170</v>
      </c>
      <c r="E13" s="126">
        <v>25</v>
      </c>
      <c r="F13" s="126">
        <v>4</v>
      </c>
      <c r="G13" s="206">
        <f t="shared" si="0"/>
        <v>2.2783505154639174</v>
      </c>
      <c r="H13" s="226">
        <v>97</v>
      </c>
      <c r="I13" s="210">
        <v>87400</v>
      </c>
    </row>
    <row r="14" spans="1:9" ht="30" x14ac:dyDescent="0.25">
      <c r="A14" s="41">
        <v>4</v>
      </c>
      <c r="B14" s="184" t="s">
        <v>176</v>
      </c>
      <c r="C14" s="188">
        <v>526</v>
      </c>
      <c r="D14" s="18">
        <v>147720</v>
      </c>
      <c r="E14" s="126">
        <v>67</v>
      </c>
      <c r="F14" s="126">
        <v>4</v>
      </c>
      <c r="G14" s="206">
        <f t="shared" si="0"/>
        <v>4.3114754098360653</v>
      </c>
      <c r="H14" s="226">
        <v>122</v>
      </c>
      <c r="I14" s="210">
        <v>140400</v>
      </c>
    </row>
    <row r="15" spans="1:9" x14ac:dyDescent="0.25">
      <c r="A15" s="41">
        <v>5</v>
      </c>
      <c r="B15" s="184" t="s">
        <v>177</v>
      </c>
      <c r="C15" s="188">
        <v>171</v>
      </c>
      <c r="D15" s="18">
        <v>74050</v>
      </c>
      <c r="E15" s="18">
        <v>72</v>
      </c>
      <c r="F15" s="126">
        <v>4</v>
      </c>
      <c r="G15" s="206">
        <f t="shared" si="0"/>
        <v>1.0555555555555556</v>
      </c>
      <c r="H15" s="226">
        <v>162</v>
      </c>
      <c r="I15" s="210">
        <v>475800</v>
      </c>
    </row>
    <row r="16" spans="1:9" x14ac:dyDescent="0.25">
      <c r="A16" s="41">
        <v>6</v>
      </c>
      <c r="B16" s="184" t="s">
        <v>178</v>
      </c>
      <c r="C16" s="188">
        <v>98</v>
      </c>
      <c r="D16" s="18">
        <v>57310</v>
      </c>
      <c r="E16" s="126">
        <v>46</v>
      </c>
      <c r="F16" s="126">
        <v>2</v>
      </c>
      <c r="G16" s="206">
        <f t="shared" si="0"/>
        <v>0.66666666666666663</v>
      </c>
      <c r="H16" s="226">
        <v>147</v>
      </c>
      <c r="I16" s="210">
        <v>358800</v>
      </c>
    </row>
    <row r="17" spans="1:9" x14ac:dyDescent="0.25">
      <c r="A17" s="41">
        <v>7</v>
      </c>
      <c r="B17" s="184" t="s">
        <v>179</v>
      </c>
      <c r="C17" s="188">
        <v>375</v>
      </c>
      <c r="D17" s="18">
        <v>266970</v>
      </c>
      <c r="E17" s="126">
        <v>5</v>
      </c>
      <c r="F17" s="126">
        <v>2</v>
      </c>
      <c r="G17" s="206">
        <f t="shared" si="0"/>
        <v>3.2327586206896552</v>
      </c>
      <c r="H17" s="226">
        <v>116</v>
      </c>
      <c r="I17" s="210">
        <v>124800</v>
      </c>
    </row>
    <row r="18" spans="1:9" x14ac:dyDescent="0.25">
      <c r="A18" s="41">
        <v>8</v>
      </c>
      <c r="B18" s="184" t="s">
        <v>180</v>
      </c>
      <c r="C18" s="188">
        <v>279</v>
      </c>
      <c r="D18" s="18">
        <v>137430</v>
      </c>
      <c r="E18" s="126">
        <v>44</v>
      </c>
      <c r="F18" s="126">
        <v>3</v>
      </c>
      <c r="G18" s="206">
        <f t="shared" si="0"/>
        <v>0.41579731743666171</v>
      </c>
      <c r="H18" s="226">
        <v>671</v>
      </c>
      <c r="I18" s="210">
        <v>507000</v>
      </c>
    </row>
    <row r="19" spans="1:9" x14ac:dyDescent="0.25">
      <c r="A19" s="41">
        <v>9</v>
      </c>
      <c r="B19" s="184" t="s">
        <v>181</v>
      </c>
      <c r="C19" s="188">
        <v>671</v>
      </c>
      <c r="D19" s="18">
        <v>203430</v>
      </c>
      <c r="E19" s="126">
        <v>38</v>
      </c>
      <c r="F19" s="126">
        <v>6</v>
      </c>
      <c r="G19" s="206">
        <f t="shared" si="0"/>
        <v>0.57596566523605153</v>
      </c>
      <c r="H19" s="226">
        <v>1165</v>
      </c>
      <c r="I19" s="210">
        <v>95200</v>
      </c>
    </row>
    <row r="20" spans="1:9" ht="30" x14ac:dyDescent="0.25">
      <c r="A20" s="41">
        <v>10</v>
      </c>
      <c r="B20" s="184" t="s">
        <v>182</v>
      </c>
      <c r="C20" s="188">
        <v>180</v>
      </c>
      <c r="D20" s="18">
        <v>87060</v>
      </c>
      <c r="E20" s="126">
        <v>34</v>
      </c>
      <c r="F20" s="126">
        <v>3</v>
      </c>
      <c r="G20" s="206">
        <f t="shared" si="0"/>
        <v>1.4634146341463414</v>
      </c>
      <c r="H20" s="226">
        <v>123</v>
      </c>
      <c r="I20" s="210">
        <v>101630</v>
      </c>
    </row>
    <row r="21" spans="1:9" ht="30" x14ac:dyDescent="0.25">
      <c r="A21" s="41">
        <v>11</v>
      </c>
      <c r="B21" s="184" t="s">
        <v>183</v>
      </c>
      <c r="C21" s="188">
        <v>4810</v>
      </c>
      <c r="D21" s="18">
        <v>4269090</v>
      </c>
      <c r="E21" s="126">
        <v>0</v>
      </c>
      <c r="F21" s="18">
        <v>8</v>
      </c>
      <c r="G21" s="206">
        <f t="shared" si="0"/>
        <v>6.8613326105872794</v>
      </c>
      <c r="H21" s="226">
        <v>701.03</v>
      </c>
      <c r="I21" s="210">
        <v>337540</v>
      </c>
    </row>
    <row r="22" spans="1:9" ht="16.5" customHeight="1" x14ac:dyDescent="0.25">
      <c r="A22" s="41">
        <v>12</v>
      </c>
      <c r="B22" s="184" t="s">
        <v>184</v>
      </c>
      <c r="C22" s="188">
        <v>374</v>
      </c>
      <c r="D22" s="18">
        <v>135360</v>
      </c>
      <c r="E22" s="126">
        <v>17</v>
      </c>
      <c r="F22" s="126">
        <v>3</v>
      </c>
      <c r="G22" s="206">
        <f t="shared" si="0"/>
        <v>0.30555555555555558</v>
      </c>
      <c r="H22" s="226">
        <v>1224</v>
      </c>
      <c r="I22" s="210">
        <v>163800</v>
      </c>
    </row>
    <row r="23" spans="1:9" ht="16.5" thickBot="1" x14ac:dyDescent="0.25">
      <c r="A23" s="41">
        <v>13</v>
      </c>
      <c r="B23" s="185" t="s">
        <v>185</v>
      </c>
      <c r="C23" s="188">
        <v>402</v>
      </c>
      <c r="D23" s="18">
        <v>130470</v>
      </c>
      <c r="E23" s="126">
        <v>22</v>
      </c>
      <c r="F23" s="126">
        <v>3</v>
      </c>
      <c r="G23" s="207">
        <f t="shared" si="0"/>
        <v>3.9029126213592233</v>
      </c>
      <c r="H23" s="226">
        <v>103</v>
      </c>
      <c r="I23" s="210">
        <v>327600</v>
      </c>
    </row>
    <row r="24" spans="1:9" ht="16.5" thickBot="1" x14ac:dyDescent="0.25">
      <c r="A24" s="20"/>
      <c r="B24" s="21"/>
      <c r="C24" s="22">
        <f>SUM(C11:C23)</f>
        <v>9157</v>
      </c>
      <c r="D24" s="22">
        <f>SUM(D11:D23)</f>
        <v>5928790</v>
      </c>
      <c r="E24" s="198">
        <f>SUM(E11:E23)/12</f>
        <v>37.25</v>
      </c>
      <c r="F24" s="198">
        <f>SUM(F11:F23)/13</f>
        <v>3.7692307692307692</v>
      </c>
      <c r="G24" s="198">
        <f>SUM(G11:G23)/13</f>
        <v>1.9723782365891027</v>
      </c>
      <c r="H24" s="227">
        <f t="shared" ref="H24:I24" si="1">SUM(H11:H23)</f>
        <v>7886.03</v>
      </c>
      <c r="I24" s="190">
        <f t="shared" si="1"/>
        <v>2966170</v>
      </c>
    </row>
  </sheetData>
  <sheetProtection selectLockedCells="1" selectUnlockedCells="1"/>
  <mergeCells count="6">
    <mergeCell ref="A2:I2"/>
    <mergeCell ref="B3:G3"/>
    <mergeCell ref="A5:A9"/>
    <mergeCell ref="B5:B8"/>
    <mergeCell ref="C5:I5"/>
    <mergeCell ref="E6:I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7"/>
  <sheetViews>
    <sheetView zoomScale="60" zoomScaleNormal="60" workbookViewId="0">
      <pane xSplit="1" topLeftCell="FP1" activePane="topRight" state="frozen"/>
      <selection pane="topRight" activeCell="AD1" sqref="AD1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6.5703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4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855468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3.85546875" style="16" customWidth="1"/>
    <col min="42" max="42" width="16.140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3.8554687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28515625" style="16" customWidth="1"/>
    <col min="54" max="54" width="15.42578125" style="16" bestFit="1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4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1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3.2851562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3.14062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2.5703125" style="16" customWidth="1"/>
    <col min="120" max="120" width="16.28515625" style="16" customWidth="1"/>
    <col min="121" max="123" width="15" style="16" customWidth="1"/>
    <col min="124" max="124" width="16" style="16" customWidth="1"/>
    <col min="125" max="125" width="13.5703125" style="16" customWidth="1"/>
    <col min="126" max="129" width="15" style="16" customWidth="1"/>
    <col min="130" max="130" width="16.42578125" style="16" customWidth="1"/>
    <col min="131" max="131" width="13.140625" style="16" customWidth="1"/>
    <col min="132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3" width="12.85546875" style="16" customWidth="1"/>
    <col min="144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3" width="12.85546875" style="16" customWidth="1"/>
    <col min="174" max="177" width="15" style="16" customWidth="1"/>
    <col min="178" max="178" width="16.42578125" style="16" customWidth="1"/>
    <col min="179" max="179" width="12.85546875" style="16" customWidth="1"/>
    <col min="180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19.5703125" style="16" customWidth="1"/>
    <col min="193" max="193" width="20.5703125" style="16" customWidth="1"/>
    <col min="194" max="194" width="17.7109375" style="16" customWidth="1"/>
    <col min="195" max="195" width="12" style="16" hidden="1" customWidth="1"/>
    <col min="196" max="196" width="16.28515625" style="16" customWidth="1"/>
    <col min="197" max="16384" width="15.28515625" style="16"/>
  </cols>
  <sheetData>
    <row r="1" spans="1:196" s="17" customFormat="1" ht="22.5" customHeight="1" x14ac:dyDescent="0.2">
      <c r="A1" s="128"/>
      <c r="B1" s="128" t="s">
        <v>218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5" thickBot="1" x14ac:dyDescent="0.25"/>
    <row r="3" spans="1:196" s="36" customFormat="1" ht="34.5" customHeight="1" thickBot="1" x14ac:dyDescent="0.25">
      <c r="A3" s="281" t="s">
        <v>7</v>
      </c>
      <c r="B3" s="284" t="s">
        <v>58</v>
      </c>
      <c r="C3" s="287" t="s">
        <v>9</v>
      </c>
      <c r="D3" s="288"/>
      <c r="E3" s="288"/>
      <c r="F3" s="289"/>
      <c r="G3" s="255" t="s">
        <v>59</v>
      </c>
      <c r="H3" s="256"/>
      <c r="I3" s="256"/>
      <c r="J3" s="257"/>
      <c r="K3" s="263" t="s">
        <v>79</v>
      </c>
      <c r="L3" s="69" t="s">
        <v>51</v>
      </c>
      <c r="M3" s="260" t="s">
        <v>75</v>
      </c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  <c r="AU3" s="261"/>
      <c r="AV3" s="261"/>
      <c r="AW3" s="261"/>
      <c r="AX3" s="261"/>
      <c r="AY3" s="261"/>
      <c r="AZ3" s="261"/>
      <c r="BA3" s="261"/>
      <c r="BB3" s="261"/>
      <c r="BC3" s="261"/>
      <c r="BD3" s="261"/>
      <c r="BE3" s="261"/>
      <c r="BF3" s="261"/>
      <c r="BG3" s="261"/>
      <c r="BH3" s="261"/>
      <c r="BI3" s="261"/>
      <c r="BJ3" s="261"/>
      <c r="BK3" s="261"/>
      <c r="BL3" s="261"/>
      <c r="BM3" s="261"/>
      <c r="BN3" s="261"/>
      <c r="BO3" s="261"/>
      <c r="BP3" s="261"/>
      <c r="BQ3" s="261"/>
      <c r="BR3" s="261"/>
      <c r="BS3" s="262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70" t="s">
        <v>80</v>
      </c>
      <c r="GK3" s="278" t="s">
        <v>81</v>
      </c>
      <c r="GL3" s="273" t="s">
        <v>78</v>
      </c>
      <c r="GN3" s="252" t="s">
        <v>198</v>
      </c>
    </row>
    <row r="4" spans="1:196" s="26" customFormat="1" ht="29.25" customHeight="1" x14ac:dyDescent="0.2">
      <c r="A4" s="282"/>
      <c r="B4" s="285"/>
      <c r="C4" s="292" t="s">
        <v>10</v>
      </c>
      <c r="D4" s="293"/>
      <c r="E4" s="292" t="s">
        <v>11</v>
      </c>
      <c r="F4" s="293"/>
      <c r="G4" s="294" t="s">
        <v>195</v>
      </c>
      <c r="H4" s="276" t="s">
        <v>12</v>
      </c>
      <c r="I4" s="276" t="s">
        <v>64</v>
      </c>
      <c r="J4" s="258" t="s">
        <v>67</v>
      </c>
      <c r="K4" s="264"/>
      <c r="L4" s="296" t="s">
        <v>76</v>
      </c>
      <c r="M4" s="266" t="s">
        <v>13</v>
      </c>
      <c r="N4" s="267"/>
      <c r="O4" s="267"/>
      <c r="P4" s="267"/>
      <c r="Q4" s="268"/>
      <c r="R4" s="266" t="s">
        <v>14</v>
      </c>
      <c r="S4" s="267"/>
      <c r="T4" s="267"/>
      <c r="U4" s="267"/>
      <c r="V4" s="267"/>
      <c r="W4" s="268"/>
      <c r="X4" s="266" t="s">
        <v>15</v>
      </c>
      <c r="Y4" s="267"/>
      <c r="Z4" s="267"/>
      <c r="AA4" s="267"/>
      <c r="AB4" s="267"/>
      <c r="AC4" s="268"/>
      <c r="AD4" s="266" t="s">
        <v>16</v>
      </c>
      <c r="AE4" s="267"/>
      <c r="AF4" s="267"/>
      <c r="AG4" s="267"/>
      <c r="AH4" s="267"/>
      <c r="AI4" s="268"/>
      <c r="AJ4" s="266" t="s">
        <v>17</v>
      </c>
      <c r="AK4" s="267"/>
      <c r="AL4" s="267"/>
      <c r="AM4" s="267"/>
      <c r="AN4" s="267"/>
      <c r="AO4" s="268"/>
      <c r="AP4" s="266" t="s">
        <v>18</v>
      </c>
      <c r="AQ4" s="267"/>
      <c r="AR4" s="267"/>
      <c r="AS4" s="267"/>
      <c r="AT4" s="267"/>
      <c r="AU4" s="268"/>
      <c r="AV4" s="266" t="s">
        <v>19</v>
      </c>
      <c r="AW4" s="267"/>
      <c r="AX4" s="267"/>
      <c r="AY4" s="267"/>
      <c r="AZ4" s="267"/>
      <c r="BA4" s="268"/>
      <c r="BB4" s="266" t="s">
        <v>20</v>
      </c>
      <c r="BC4" s="267"/>
      <c r="BD4" s="267"/>
      <c r="BE4" s="267"/>
      <c r="BF4" s="267"/>
      <c r="BG4" s="268"/>
      <c r="BH4" s="266" t="s">
        <v>21</v>
      </c>
      <c r="BI4" s="267"/>
      <c r="BJ4" s="267"/>
      <c r="BK4" s="267"/>
      <c r="BL4" s="267"/>
      <c r="BM4" s="268"/>
      <c r="BN4" s="266" t="s">
        <v>22</v>
      </c>
      <c r="BO4" s="267"/>
      <c r="BP4" s="267"/>
      <c r="BQ4" s="267"/>
      <c r="BR4" s="267"/>
      <c r="BS4" s="269"/>
      <c r="BT4" s="266" t="s">
        <v>84</v>
      </c>
      <c r="BU4" s="267"/>
      <c r="BV4" s="267"/>
      <c r="BW4" s="267"/>
      <c r="BX4" s="267"/>
      <c r="BY4" s="269"/>
      <c r="BZ4" s="266" t="s">
        <v>87</v>
      </c>
      <c r="CA4" s="267"/>
      <c r="CB4" s="267"/>
      <c r="CC4" s="267"/>
      <c r="CD4" s="267"/>
      <c r="CE4" s="269"/>
      <c r="CF4" s="266" t="s">
        <v>88</v>
      </c>
      <c r="CG4" s="267"/>
      <c r="CH4" s="267"/>
      <c r="CI4" s="267"/>
      <c r="CJ4" s="267"/>
      <c r="CK4" s="269"/>
      <c r="CL4" s="266" t="s">
        <v>93</v>
      </c>
      <c r="CM4" s="267"/>
      <c r="CN4" s="267"/>
      <c r="CO4" s="267"/>
      <c r="CP4" s="267"/>
      <c r="CQ4" s="269"/>
      <c r="CR4" s="266" t="s">
        <v>96</v>
      </c>
      <c r="CS4" s="267"/>
      <c r="CT4" s="267"/>
      <c r="CU4" s="267"/>
      <c r="CV4" s="267"/>
      <c r="CW4" s="269"/>
      <c r="CX4" s="266" t="s">
        <v>99</v>
      </c>
      <c r="CY4" s="267"/>
      <c r="CZ4" s="267"/>
      <c r="DA4" s="267"/>
      <c r="DB4" s="267"/>
      <c r="DC4" s="269"/>
      <c r="DD4" s="266" t="s">
        <v>102</v>
      </c>
      <c r="DE4" s="267"/>
      <c r="DF4" s="267"/>
      <c r="DG4" s="267"/>
      <c r="DH4" s="267"/>
      <c r="DI4" s="269"/>
      <c r="DJ4" s="266" t="s">
        <v>105</v>
      </c>
      <c r="DK4" s="267"/>
      <c r="DL4" s="267"/>
      <c r="DM4" s="267"/>
      <c r="DN4" s="267"/>
      <c r="DO4" s="269"/>
      <c r="DP4" s="266" t="s">
        <v>108</v>
      </c>
      <c r="DQ4" s="267"/>
      <c r="DR4" s="267"/>
      <c r="DS4" s="267"/>
      <c r="DT4" s="267"/>
      <c r="DU4" s="269"/>
      <c r="DV4" s="266" t="s">
        <v>111</v>
      </c>
      <c r="DW4" s="267"/>
      <c r="DX4" s="267"/>
      <c r="DY4" s="267"/>
      <c r="DZ4" s="267"/>
      <c r="EA4" s="269"/>
      <c r="EB4" s="266" t="s">
        <v>133</v>
      </c>
      <c r="EC4" s="267"/>
      <c r="ED4" s="267"/>
      <c r="EE4" s="267"/>
      <c r="EF4" s="267"/>
      <c r="EG4" s="269"/>
      <c r="EH4" s="266" t="s">
        <v>137</v>
      </c>
      <c r="EI4" s="267"/>
      <c r="EJ4" s="267"/>
      <c r="EK4" s="267"/>
      <c r="EL4" s="267"/>
      <c r="EM4" s="269"/>
      <c r="EN4" s="266" t="s">
        <v>141</v>
      </c>
      <c r="EO4" s="267"/>
      <c r="EP4" s="267"/>
      <c r="EQ4" s="267"/>
      <c r="ER4" s="267"/>
      <c r="ES4" s="269"/>
      <c r="ET4" s="266" t="s">
        <v>145</v>
      </c>
      <c r="EU4" s="267"/>
      <c r="EV4" s="267"/>
      <c r="EW4" s="267"/>
      <c r="EX4" s="267"/>
      <c r="EY4" s="269"/>
      <c r="EZ4" s="266" t="s">
        <v>149</v>
      </c>
      <c r="FA4" s="267"/>
      <c r="FB4" s="267"/>
      <c r="FC4" s="267"/>
      <c r="FD4" s="267"/>
      <c r="FE4" s="269"/>
      <c r="FF4" s="266" t="s">
        <v>153</v>
      </c>
      <c r="FG4" s="267"/>
      <c r="FH4" s="267"/>
      <c r="FI4" s="267"/>
      <c r="FJ4" s="267"/>
      <c r="FK4" s="269"/>
      <c r="FL4" s="266" t="s">
        <v>157</v>
      </c>
      <c r="FM4" s="267"/>
      <c r="FN4" s="267"/>
      <c r="FO4" s="267"/>
      <c r="FP4" s="267"/>
      <c r="FQ4" s="269"/>
      <c r="FR4" s="266" t="s">
        <v>161</v>
      </c>
      <c r="FS4" s="267"/>
      <c r="FT4" s="267"/>
      <c r="FU4" s="267"/>
      <c r="FV4" s="267"/>
      <c r="FW4" s="269"/>
      <c r="FX4" s="266" t="s">
        <v>165</v>
      </c>
      <c r="FY4" s="267"/>
      <c r="FZ4" s="267"/>
      <c r="GA4" s="267"/>
      <c r="GB4" s="267"/>
      <c r="GC4" s="269"/>
      <c r="GD4" s="266" t="s">
        <v>168</v>
      </c>
      <c r="GE4" s="267"/>
      <c r="GF4" s="267"/>
      <c r="GG4" s="267"/>
      <c r="GH4" s="267"/>
      <c r="GI4" s="269"/>
      <c r="GJ4" s="271"/>
      <c r="GK4" s="279"/>
      <c r="GL4" s="274"/>
      <c r="GN4" s="298"/>
    </row>
    <row r="5" spans="1:196" s="26" customFormat="1" ht="246" customHeight="1" thickBot="1" x14ac:dyDescent="0.25">
      <c r="A5" s="282"/>
      <c r="B5" s="286"/>
      <c r="C5" s="290" t="s">
        <v>197</v>
      </c>
      <c r="D5" s="291"/>
      <c r="E5" s="290" t="s">
        <v>73</v>
      </c>
      <c r="F5" s="291"/>
      <c r="G5" s="295"/>
      <c r="H5" s="277"/>
      <c r="I5" s="277"/>
      <c r="J5" s="259"/>
      <c r="K5" s="265"/>
      <c r="L5" s="297"/>
      <c r="M5" s="66" t="s">
        <v>57</v>
      </c>
      <c r="N5" s="203" t="s">
        <v>123</v>
      </c>
      <c r="O5" s="203" t="s">
        <v>65</v>
      </c>
      <c r="P5" s="203" t="s">
        <v>77</v>
      </c>
      <c r="Q5" s="68" t="s">
        <v>23</v>
      </c>
      <c r="R5" s="66" t="s">
        <v>24</v>
      </c>
      <c r="S5" s="203" t="s">
        <v>124</v>
      </c>
      <c r="T5" s="203" t="s">
        <v>57</v>
      </c>
      <c r="U5" s="203" t="s">
        <v>65</v>
      </c>
      <c r="V5" s="203" t="s">
        <v>77</v>
      </c>
      <c r="W5" s="68" t="s">
        <v>25</v>
      </c>
      <c r="X5" s="66" t="s">
        <v>26</v>
      </c>
      <c r="Y5" s="203" t="s">
        <v>125</v>
      </c>
      <c r="Z5" s="203" t="s">
        <v>57</v>
      </c>
      <c r="AA5" s="203" t="s">
        <v>65</v>
      </c>
      <c r="AB5" s="203" t="s">
        <v>77</v>
      </c>
      <c r="AC5" s="68" t="s">
        <v>27</v>
      </c>
      <c r="AD5" s="66" t="s">
        <v>28</v>
      </c>
      <c r="AE5" s="203" t="s">
        <v>126</v>
      </c>
      <c r="AF5" s="203" t="s">
        <v>57</v>
      </c>
      <c r="AG5" s="203" t="s">
        <v>65</v>
      </c>
      <c r="AH5" s="203" t="s">
        <v>77</v>
      </c>
      <c r="AI5" s="68" t="s">
        <v>29</v>
      </c>
      <c r="AJ5" s="66" t="s">
        <v>30</v>
      </c>
      <c r="AK5" s="203" t="s">
        <v>127</v>
      </c>
      <c r="AL5" s="203" t="s">
        <v>57</v>
      </c>
      <c r="AM5" s="203" t="s">
        <v>65</v>
      </c>
      <c r="AN5" s="203" t="s">
        <v>77</v>
      </c>
      <c r="AO5" s="68" t="s">
        <v>31</v>
      </c>
      <c r="AP5" s="66" t="s">
        <v>32</v>
      </c>
      <c r="AQ5" s="203" t="s">
        <v>128</v>
      </c>
      <c r="AR5" s="203" t="s">
        <v>57</v>
      </c>
      <c r="AS5" s="203" t="s">
        <v>65</v>
      </c>
      <c r="AT5" s="203" t="s">
        <v>77</v>
      </c>
      <c r="AU5" s="68" t="s">
        <v>33</v>
      </c>
      <c r="AV5" s="66" t="s">
        <v>34</v>
      </c>
      <c r="AW5" s="203" t="s">
        <v>129</v>
      </c>
      <c r="AX5" s="203" t="s">
        <v>57</v>
      </c>
      <c r="AY5" s="203" t="s">
        <v>65</v>
      </c>
      <c r="AZ5" s="203" t="s">
        <v>77</v>
      </c>
      <c r="BA5" s="68" t="s">
        <v>35</v>
      </c>
      <c r="BB5" s="66" t="s">
        <v>36</v>
      </c>
      <c r="BC5" s="203" t="s">
        <v>130</v>
      </c>
      <c r="BD5" s="203" t="s">
        <v>57</v>
      </c>
      <c r="BE5" s="203" t="s">
        <v>65</v>
      </c>
      <c r="BF5" s="203" t="s">
        <v>77</v>
      </c>
      <c r="BG5" s="68" t="s">
        <v>37</v>
      </c>
      <c r="BH5" s="66" t="s">
        <v>38</v>
      </c>
      <c r="BI5" s="203" t="s">
        <v>131</v>
      </c>
      <c r="BJ5" s="203" t="s">
        <v>57</v>
      </c>
      <c r="BK5" s="203" t="s">
        <v>65</v>
      </c>
      <c r="BL5" s="203" t="s">
        <v>77</v>
      </c>
      <c r="BM5" s="68" t="s">
        <v>39</v>
      </c>
      <c r="BN5" s="66" t="s">
        <v>40</v>
      </c>
      <c r="BO5" s="203" t="s">
        <v>132</v>
      </c>
      <c r="BP5" s="203" t="s">
        <v>57</v>
      </c>
      <c r="BQ5" s="203" t="s">
        <v>65</v>
      </c>
      <c r="BR5" s="203" t="s">
        <v>77</v>
      </c>
      <c r="BS5" s="204" t="s">
        <v>41</v>
      </c>
      <c r="BT5" s="66" t="s">
        <v>85</v>
      </c>
      <c r="BU5" s="203" t="s">
        <v>114</v>
      </c>
      <c r="BV5" s="203" t="s">
        <v>57</v>
      </c>
      <c r="BW5" s="203" t="s">
        <v>65</v>
      </c>
      <c r="BX5" s="203" t="s">
        <v>77</v>
      </c>
      <c r="BY5" s="204" t="s">
        <v>86</v>
      </c>
      <c r="BZ5" s="66" t="s">
        <v>89</v>
      </c>
      <c r="CA5" s="203" t="s">
        <v>115</v>
      </c>
      <c r="CB5" s="203" t="s">
        <v>57</v>
      </c>
      <c r="CC5" s="203" t="s">
        <v>65</v>
      </c>
      <c r="CD5" s="203" t="s">
        <v>77</v>
      </c>
      <c r="CE5" s="204" t="s">
        <v>90</v>
      </c>
      <c r="CF5" s="66" t="s">
        <v>91</v>
      </c>
      <c r="CG5" s="203" t="s">
        <v>116</v>
      </c>
      <c r="CH5" s="203" t="s">
        <v>57</v>
      </c>
      <c r="CI5" s="203" t="s">
        <v>65</v>
      </c>
      <c r="CJ5" s="203" t="s">
        <v>77</v>
      </c>
      <c r="CK5" s="204" t="s">
        <v>92</v>
      </c>
      <c r="CL5" s="66" t="s">
        <v>94</v>
      </c>
      <c r="CM5" s="203" t="s">
        <v>117</v>
      </c>
      <c r="CN5" s="203" t="s">
        <v>57</v>
      </c>
      <c r="CO5" s="203" t="s">
        <v>65</v>
      </c>
      <c r="CP5" s="203" t="s">
        <v>77</v>
      </c>
      <c r="CQ5" s="204" t="s">
        <v>95</v>
      </c>
      <c r="CR5" s="66" t="s">
        <v>97</v>
      </c>
      <c r="CS5" s="203" t="s">
        <v>118</v>
      </c>
      <c r="CT5" s="203" t="s">
        <v>57</v>
      </c>
      <c r="CU5" s="203" t="s">
        <v>65</v>
      </c>
      <c r="CV5" s="203" t="s">
        <v>77</v>
      </c>
      <c r="CW5" s="204" t="s">
        <v>98</v>
      </c>
      <c r="CX5" s="66" t="s">
        <v>100</v>
      </c>
      <c r="CY5" s="203" t="s">
        <v>119</v>
      </c>
      <c r="CZ5" s="203" t="s">
        <v>57</v>
      </c>
      <c r="DA5" s="203" t="s">
        <v>65</v>
      </c>
      <c r="DB5" s="203" t="s">
        <v>77</v>
      </c>
      <c r="DC5" s="204" t="s">
        <v>101</v>
      </c>
      <c r="DD5" s="66" t="s">
        <v>103</v>
      </c>
      <c r="DE5" s="203" t="s">
        <v>120</v>
      </c>
      <c r="DF5" s="203" t="s">
        <v>57</v>
      </c>
      <c r="DG5" s="203" t="s">
        <v>65</v>
      </c>
      <c r="DH5" s="203" t="s">
        <v>77</v>
      </c>
      <c r="DI5" s="204" t="s">
        <v>104</v>
      </c>
      <c r="DJ5" s="66" t="s">
        <v>106</v>
      </c>
      <c r="DK5" s="203" t="s">
        <v>66</v>
      </c>
      <c r="DL5" s="203" t="s">
        <v>57</v>
      </c>
      <c r="DM5" s="203" t="s">
        <v>65</v>
      </c>
      <c r="DN5" s="203" t="s">
        <v>77</v>
      </c>
      <c r="DO5" s="204" t="s">
        <v>107</v>
      </c>
      <c r="DP5" s="66" t="s">
        <v>109</v>
      </c>
      <c r="DQ5" s="203" t="s">
        <v>121</v>
      </c>
      <c r="DR5" s="203" t="s">
        <v>57</v>
      </c>
      <c r="DS5" s="203" t="s">
        <v>65</v>
      </c>
      <c r="DT5" s="203" t="s">
        <v>77</v>
      </c>
      <c r="DU5" s="204" t="s">
        <v>110</v>
      </c>
      <c r="DV5" s="66" t="s">
        <v>113</v>
      </c>
      <c r="DW5" s="203" t="s">
        <v>122</v>
      </c>
      <c r="DX5" s="203" t="s">
        <v>57</v>
      </c>
      <c r="DY5" s="203" t="s">
        <v>65</v>
      </c>
      <c r="DZ5" s="203" t="s">
        <v>77</v>
      </c>
      <c r="EA5" s="204" t="s">
        <v>112</v>
      </c>
      <c r="EB5" s="66" t="s">
        <v>134</v>
      </c>
      <c r="EC5" s="203" t="s">
        <v>135</v>
      </c>
      <c r="ED5" s="203" t="s">
        <v>57</v>
      </c>
      <c r="EE5" s="203" t="s">
        <v>65</v>
      </c>
      <c r="EF5" s="203" t="s">
        <v>77</v>
      </c>
      <c r="EG5" s="204" t="s">
        <v>136</v>
      </c>
      <c r="EH5" s="66" t="s">
        <v>138</v>
      </c>
      <c r="EI5" s="203" t="s">
        <v>139</v>
      </c>
      <c r="EJ5" s="203" t="s">
        <v>57</v>
      </c>
      <c r="EK5" s="203" t="s">
        <v>65</v>
      </c>
      <c r="EL5" s="203" t="s">
        <v>77</v>
      </c>
      <c r="EM5" s="204" t="s">
        <v>140</v>
      </c>
      <c r="EN5" s="66" t="s">
        <v>142</v>
      </c>
      <c r="EO5" s="203" t="s">
        <v>143</v>
      </c>
      <c r="EP5" s="203" t="s">
        <v>57</v>
      </c>
      <c r="EQ5" s="203" t="s">
        <v>65</v>
      </c>
      <c r="ER5" s="203" t="s">
        <v>77</v>
      </c>
      <c r="ES5" s="204" t="s">
        <v>144</v>
      </c>
      <c r="ET5" s="66" t="s">
        <v>146</v>
      </c>
      <c r="EU5" s="203" t="s">
        <v>147</v>
      </c>
      <c r="EV5" s="203" t="s">
        <v>57</v>
      </c>
      <c r="EW5" s="203" t="s">
        <v>65</v>
      </c>
      <c r="EX5" s="203" t="s">
        <v>77</v>
      </c>
      <c r="EY5" s="204" t="s">
        <v>148</v>
      </c>
      <c r="EZ5" s="66" t="s">
        <v>150</v>
      </c>
      <c r="FA5" s="203" t="s">
        <v>151</v>
      </c>
      <c r="FB5" s="203" t="s">
        <v>57</v>
      </c>
      <c r="FC5" s="203" t="s">
        <v>65</v>
      </c>
      <c r="FD5" s="203" t="s">
        <v>77</v>
      </c>
      <c r="FE5" s="204" t="s">
        <v>152</v>
      </c>
      <c r="FF5" s="66" t="s">
        <v>154</v>
      </c>
      <c r="FG5" s="203" t="s">
        <v>155</v>
      </c>
      <c r="FH5" s="203" t="s">
        <v>57</v>
      </c>
      <c r="FI5" s="203" t="s">
        <v>65</v>
      </c>
      <c r="FJ5" s="203" t="s">
        <v>77</v>
      </c>
      <c r="FK5" s="204" t="s">
        <v>156</v>
      </c>
      <c r="FL5" s="66" t="s">
        <v>158</v>
      </c>
      <c r="FM5" s="203" t="s">
        <v>159</v>
      </c>
      <c r="FN5" s="203" t="s">
        <v>57</v>
      </c>
      <c r="FO5" s="203" t="s">
        <v>65</v>
      </c>
      <c r="FP5" s="203" t="s">
        <v>77</v>
      </c>
      <c r="FQ5" s="204" t="s">
        <v>160</v>
      </c>
      <c r="FR5" s="66" t="s">
        <v>162</v>
      </c>
      <c r="FS5" s="203" t="s">
        <v>163</v>
      </c>
      <c r="FT5" s="203" t="s">
        <v>57</v>
      </c>
      <c r="FU5" s="203" t="s">
        <v>65</v>
      </c>
      <c r="FV5" s="203" t="s">
        <v>77</v>
      </c>
      <c r="FW5" s="204" t="s">
        <v>164</v>
      </c>
      <c r="FX5" s="66" t="s">
        <v>166</v>
      </c>
      <c r="FY5" s="203" t="s">
        <v>170</v>
      </c>
      <c r="FZ5" s="203" t="s">
        <v>57</v>
      </c>
      <c r="GA5" s="203" t="s">
        <v>65</v>
      </c>
      <c r="GB5" s="203" t="s">
        <v>77</v>
      </c>
      <c r="GC5" s="204" t="s">
        <v>167</v>
      </c>
      <c r="GD5" s="66" t="s">
        <v>169</v>
      </c>
      <c r="GE5" s="203" t="s">
        <v>171</v>
      </c>
      <c r="GF5" s="203" t="s">
        <v>57</v>
      </c>
      <c r="GG5" s="203" t="s">
        <v>65</v>
      </c>
      <c r="GH5" s="203" t="s">
        <v>77</v>
      </c>
      <c r="GI5" s="204" t="s">
        <v>172</v>
      </c>
      <c r="GJ5" s="272"/>
      <c r="GK5" s="280"/>
      <c r="GL5" s="275"/>
      <c r="GN5" s="299"/>
    </row>
    <row r="6" spans="1:196" s="26" customFormat="1" ht="19.5" thickBot="1" x14ac:dyDescent="0.25">
      <c r="A6" s="283"/>
      <c r="B6" s="10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16" t="s">
        <v>69</v>
      </c>
      <c r="K6" s="12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6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6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6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6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6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6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6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6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6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6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6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6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6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6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6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6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6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6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6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6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6" t="s">
        <v>52</v>
      </c>
      <c r="GJ6" s="171" t="s">
        <v>52</v>
      </c>
      <c r="GK6" s="169" t="s">
        <v>60</v>
      </c>
      <c r="GL6" s="83" t="s">
        <v>74</v>
      </c>
      <c r="GN6" s="211"/>
    </row>
    <row r="7" spans="1:196" s="27" customFormat="1" thickBot="1" x14ac:dyDescent="0.25">
      <c r="A7" s="106">
        <v>1</v>
      </c>
      <c r="B7" s="11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5">
        <f>F7+1</f>
        <v>7</v>
      </c>
      <c r="H7" s="61">
        <f t="shared" si="0"/>
        <v>8</v>
      </c>
      <c r="I7" s="61">
        <f t="shared" si="0"/>
        <v>9</v>
      </c>
      <c r="J7" s="117">
        <f>I7+1</f>
        <v>10</v>
      </c>
      <c r="K7" s="122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7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7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7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7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7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7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7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7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7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7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7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7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7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7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7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7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7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7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7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7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7">
        <f t="shared" si="21"/>
        <v>191</v>
      </c>
      <c r="GJ7" s="62">
        <f>GI7+1</f>
        <v>192</v>
      </c>
      <c r="GK7" s="170">
        <f>GJ7+1</f>
        <v>193</v>
      </c>
      <c r="GL7" s="84">
        <f>GK7+1</f>
        <v>194</v>
      </c>
      <c r="GN7" s="212"/>
    </row>
    <row r="8" spans="1:196" s="28" customFormat="1" thickBot="1" x14ac:dyDescent="0.25">
      <c r="A8" s="107" t="s">
        <v>3</v>
      </c>
      <c r="B8" s="11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8" t="s">
        <v>68</v>
      </c>
      <c r="K8" s="12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76" t="s">
        <v>4</v>
      </c>
      <c r="EA8" s="11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76" t="s">
        <v>4</v>
      </c>
      <c r="EG8" s="11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76" t="s">
        <v>4</v>
      </c>
      <c r="EM8" s="11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76" t="s">
        <v>4</v>
      </c>
      <c r="EY8" s="11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76" t="s">
        <v>4</v>
      </c>
      <c r="FE8" s="11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76" t="s">
        <v>4</v>
      </c>
      <c r="FK8" s="11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76" t="s">
        <v>4</v>
      </c>
      <c r="FQ8" s="11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76" t="s">
        <v>4</v>
      </c>
      <c r="FW8" s="11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76" t="s">
        <v>4</v>
      </c>
      <c r="GC8" s="11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76" t="s">
        <v>4</v>
      </c>
      <c r="GI8" s="118" t="s">
        <v>4</v>
      </c>
      <c r="GJ8" s="218" t="s">
        <v>4</v>
      </c>
      <c r="GK8" s="172" t="s">
        <v>4</v>
      </c>
      <c r="GL8" s="85" t="s">
        <v>50</v>
      </c>
      <c r="GN8" s="213" t="s">
        <v>199</v>
      </c>
    </row>
    <row r="9" spans="1:196" s="25" customFormat="1" ht="30" x14ac:dyDescent="0.25">
      <c r="A9" s="183" t="s">
        <v>173</v>
      </c>
      <c r="B9" s="154" t="s">
        <v>8</v>
      </c>
      <c r="C9" s="154" t="s">
        <v>8</v>
      </c>
      <c r="D9" s="154" t="s">
        <v>8</v>
      </c>
      <c r="E9" s="154" t="s">
        <v>8</v>
      </c>
      <c r="F9" s="154" t="s">
        <v>8</v>
      </c>
      <c r="G9" s="112">
        <f>'Исходные данные 25 г.'!C11</f>
        <v>862</v>
      </c>
      <c r="H9" s="49">
        <f>'Исходные данные 2027г. '!D11</f>
        <v>261970</v>
      </c>
      <c r="I9" s="50">
        <f>'Расчет КРП'!H7</f>
        <v>5.3130482164321498</v>
      </c>
      <c r="J9" s="119" t="s">
        <v>8</v>
      </c>
      <c r="K9" s="157">
        <f t="shared" ref="K9:K21" si="22">((H9/G9)/($H$22/$G$22))/I9</f>
        <v>8.8346161230589831E-2</v>
      </c>
      <c r="L9" s="158">
        <f t="shared" ref="L9:L21" si="23">$D$22*G9/$G$22</f>
        <v>838227.29012121877</v>
      </c>
      <c r="M9" s="162">
        <f t="shared" ref="M9:M21" si="24">(((H9+L9)/G9)/$J$22)/I9</f>
        <v>0.37102800770510819</v>
      </c>
      <c r="N9" s="163" t="s">
        <v>8</v>
      </c>
      <c r="O9" s="164">
        <f t="shared" ref="O9:O21" si="25">$N$22-M9</f>
        <v>5.4955737226756785E-2</v>
      </c>
      <c r="P9" s="177">
        <f>IF(O9&gt;0,G9*I9*(($H$22+$L$22)/$G$22)*O9,0)</f>
        <v>407706.14549550175</v>
      </c>
      <c r="Q9" s="165">
        <f t="shared" ref="Q9:Q21" si="26">IF(($F$22-P$22)&gt;0,P9,$F$22*P9/P$22)</f>
        <v>407706.14549550175</v>
      </c>
      <c r="R9" s="159" t="s">
        <v>8</v>
      </c>
      <c r="S9" s="48" t="s">
        <v>8</v>
      </c>
      <c r="T9" s="52">
        <f t="shared" ref="T9:T21" si="27">(((H9+L9+Q9)/G9)/$J$22)/I9</f>
        <v>0.50852189198440712</v>
      </c>
      <c r="U9" s="51">
        <f t="shared" ref="U9:U21" si="28">S$22-T9</f>
        <v>0.10125753898323253</v>
      </c>
      <c r="V9" s="53">
        <f t="shared" ref="V9:V21" si="29">IF(U9&gt;0,$G9*$I9*(($H$22+$L$22+$Q$22)/$G$22)*U9,0)</f>
        <v>915122.63218176563</v>
      </c>
      <c r="W9" s="79">
        <f t="shared" ref="W9:W21" si="30">IF((R$22-V$22)&gt;0,V9,R$22*V9/V$22)</f>
        <v>915122.63218176563</v>
      </c>
      <c r="X9" s="75" t="s">
        <v>8</v>
      </c>
      <c r="Y9" s="48" t="s">
        <v>8</v>
      </c>
      <c r="Z9" s="52">
        <f t="shared" ref="Z9:Z21" si="31">(((H9+L9+Q9+W9)/G9)/$J$22)/I9</f>
        <v>0.81713574703839031</v>
      </c>
      <c r="AA9" s="51">
        <f t="shared" ref="AA9:AA21" si="32">Y$22-Z9</f>
        <v>-6.9567026150380018E-2</v>
      </c>
      <c r="AB9" s="53">
        <f t="shared" ref="AB9:AB21" si="33">IF(AA9&gt;0,$G9*$I9*(($H$22+$L$22+$Q$22+$W$22)/$G$22)*AA9,0)</f>
        <v>0</v>
      </c>
      <c r="AC9" s="79">
        <f t="shared" ref="AC9:AC21" si="34">IF((X$22-AB$22)&gt;0,AB9,X$22*AB9/AB$22)</f>
        <v>0</v>
      </c>
      <c r="AD9" s="75" t="s">
        <v>8</v>
      </c>
      <c r="AE9" s="48" t="s">
        <v>8</v>
      </c>
      <c r="AF9" s="52">
        <f t="shared" ref="AF9:AF21" si="35">(((H9+L9+Q9+W9+AC9)/G9)/$J$22)/I9</f>
        <v>0.81713574703839031</v>
      </c>
      <c r="AG9" s="51">
        <f t="shared" ref="AG9:AG21" si="36">AE$22-AF9</f>
        <v>2.3885670010329818E-2</v>
      </c>
      <c r="AH9" s="53">
        <f t="shared" ref="AH9:AH21" si="37">IF(AG9&gt;0,$G9*$I9*(($H$22+$L$22+$Q$22+$W$22+$AC$22)/$G$22)*AG9,0)</f>
        <v>271536.52308282297</v>
      </c>
      <c r="AI9" s="79">
        <f t="shared" ref="AI9:AI21" si="38">IF((AD$22-AH$22)&gt;0,AH9,AD$22*AH9/AH$22)</f>
        <v>0</v>
      </c>
      <c r="AJ9" s="75" t="s">
        <v>8</v>
      </c>
      <c r="AK9" s="48" t="s">
        <v>8</v>
      </c>
      <c r="AL9" s="52">
        <f t="shared" ref="AL9:AL21" si="39">(((H9+L9+Q9+W9+AC9+AI9)/G9)/$J$22)/I9</f>
        <v>0.81713574703839031</v>
      </c>
      <c r="AM9" s="51">
        <f t="shared" ref="AM9:AM21" si="40">AK$22-AL9</f>
        <v>2.3885670010329818E-2</v>
      </c>
      <c r="AN9" s="53">
        <f t="shared" ref="AN9:AN21" si="41">IF(AM9&gt;0,$G9*$I9*(($H$22+$L$22+$Q$22+$W$22+$AC$22+$AI$22)/$G$22)*AM9,0)</f>
        <v>271536.52308282297</v>
      </c>
      <c r="AO9" s="79">
        <f t="shared" ref="AO9:AO21" si="42">IF((AJ$22-AN$22)&gt;0,AN9,AJ$22*AN9/AN$22)</f>
        <v>0</v>
      </c>
      <c r="AP9" s="75" t="s">
        <v>8</v>
      </c>
      <c r="AQ9" s="48" t="s">
        <v>8</v>
      </c>
      <c r="AR9" s="52">
        <f t="shared" ref="AR9:AR21" si="43">(((H9+L9+Q9+W9+AC9+AI9+AO9)/G9)/$J$22)/I9</f>
        <v>0.81713574703839031</v>
      </c>
      <c r="AS9" s="51">
        <f t="shared" ref="AS9:AS21" si="44">AQ$22-AR9</f>
        <v>2.3885670010329818E-2</v>
      </c>
      <c r="AT9" s="53">
        <f t="shared" ref="AT9:AT21" si="45">IF(AS9&gt;0,$G9*$I9*(($H$22+$L$22+$Q$22+$W$22+$AC$22+$AI$22+$AO$22)/$G$22)*AS9,0)</f>
        <v>271536.52308282297</v>
      </c>
      <c r="AU9" s="79">
        <f t="shared" ref="AU9:AU21" si="46">IF((AP$22-AT$22)&gt;0,AT9,AP$22*AT9/AT$22)</f>
        <v>0</v>
      </c>
      <c r="AV9" s="75" t="s">
        <v>8</v>
      </c>
      <c r="AW9" s="48" t="s">
        <v>8</v>
      </c>
      <c r="AX9" s="52">
        <f t="shared" ref="AX9:AX21" si="47">(((H9+L9+Q9+W9+AC9+AI9+AO9+AU9)/G9)/$J$22)/I9</f>
        <v>0.81713574703839031</v>
      </c>
      <c r="AY9" s="51">
        <f t="shared" ref="AY9:AY21" si="48">AW$22-AX9</f>
        <v>2.3885670010329818E-2</v>
      </c>
      <c r="AZ9" s="53">
        <f t="shared" ref="AZ9:AZ21" si="49">IF(AY9&gt;0,$G9*$I9*(($H$22+$L$22+$Q$22+$W$22+$AC$22+$AI$22+$AO$22+$AU$22)/$G$22)*AY9,0)</f>
        <v>271536.52308282297</v>
      </c>
      <c r="BA9" s="79">
        <f t="shared" ref="BA9:BA21" si="50">IF((AV$22-AZ$22)&gt;0,AZ9,AV$22*AZ9/AZ$22)</f>
        <v>0</v>
      </c>
      <c r="BB9" s="75" t="s">
        <v>8</v>
      </c>
      <c r="BC9" s="48" t="s">
        <v>8</v>
      </c>
      <c r="BD9" s="52">
        <f t="shared" ref="BD9:BD21" si="51">(((H9+L9+Q9+W9+AC9+AI9+AO9+AU9+BA9)/G9)/$J$22)/I9</f>
        <v>0.81713574703839031</v>
      </c>
      <c r="BE9" s="51">
        <f t="shared" ref="BE9:BE21" si="52">BC$22-BD9</f>
        <v>2.3885670010329818E-2</v>
      </c>
      <c r="BF9" s="53">
        <f t="shared" ref="BF9:BF21" si="53">IF(BE9&gt;0,$G9*$I9*(($H$22+$L$22+$Q$22+$W$22+$AC$22+$AI$22+$AO$22+$AU$22+$BA$22)/$G$22)*BE9,0)</f>
        <v>271536.52308282297</v>
      </c>
      <c r="BG9" s="79">
        <f t="shared" ref="BG9:BG21" si="54">IF((BB$22-BF$22)&gt;0,BF9,BB$22*BF9/BF$22)</f>
        <v>0</v>
      </c>
      <c r="BH9" s="75" t="s">
        <v>8</v>
      </c>
      <c r="BI9" s="48" t="s">
        <v>8</v>
      </c>
      <c r="BJ9" s="52">
        <f t="shared" ref="BJ9:BJ21" si="55">(((H9+L9+Q9+W9+AC9+AI9+AO9+AU9+BA9+BG9)/G9)/$J$22)/I9</f>
        <v>0.81713574703839031</v>
      </c>
      <c r="BK9" s="51">
        <f t="shared" ref="BK9:BK21" si="56">BI$22-BJ9</f>
        <v>2.3885670010329818E-2</v>
      </c>
      <c r="BL9" s="53">
        <f t="shared" ref="BL9:BL21" si="57">IF(BK9&gt;0,$G9*$I9*(($H$22+$L$22+$Q$22+$W$22+$AC$22+$AI$22+$AO$22+$AU$22+$BA$22+$BG$22)/$G$22)*BK9,0)</f>
        <v>271536.52308282297</v>
      </c>
      <c r="BM9" s="79">
        <f t="shared" ref="BM9:BM21" si="58">IF((BH$22-BL$22)&gt;0,BL9,BH$22*BL9/BL$22)</f>
        <v>0</v>
      </c>
      <c r="BN9" s="75" t="s">
        <v>8</v>
      </c>
      <c r="BO9" s="48" t="s">
        <v>8</v>
      </c>
      <c r="BP9" s="52">
        <f t="shared" ref="BP9:BP21" si="59">(((H9+L9+Q9+W9+AC9+AI9+AO9+AU9+BA9+BG9+BM9)/G9)/$J$22)/I9</f>
        <v>0.81713574703839031</v>
      </c>
      <c r="BQ9" s="51">
        <f t="shared" ref="BQ9:BQ21" si="60">BO$22-BP9</f>
        <v>2.3885670010329818E-2</v>
      </c>
      <c r="BR9" s="53">
        <f t="shared" ref="BR9:BR21" si="61">IF(BQ9&gt;0,$G9*$I9*(($H$22+$L$22+$Q$22+$W$22+$AC$22+$AI$22+$AO$22+$AU$22+$BA$22+$BG$22+$BM$22)/$G$22)*BQ9,0)</f>
        <v>271536.52308282297</v>
      </c>
      <c r="BS9" s="131">
        <f t="shared" ref="BS9:BS21" si="62">IF((BN$22-BR$22)&gt;0,BR9,BN$22*BR9/BR$22)</f>
        <v>0</v>
      </c>
      <c r="BT9" s="75" t="s">
        <v>8</v>
      </c>
      <c r="BU9" s="48" t="s">
        <v>8</v>
      </c>
      <c r="BV9" s="52">
        <f t="shared" ref="BV9:BV21" si="63">(((H9+L9+Q9+W9+AC9+AI9+AO9+AU9+BA9+BG9+BM9+BS9)/G9)/$J$22)/I9</f>
        <v>0.81713574703839031</v>
      </c>
      <c r="BW9" s="51">
        <f t="shared" ref="BW9:BW21" si="64">BU$22-BV9</f>
        <v>2.3885670010329818E-2</v>
      </c>
      <c r="BX9" s="53">
        <f t="shared" ref="BX9:BX21" si="65">IF(BW9&gt;0,$G9*$I9*(($H$22+$L$22+$Q$22+$W$22+$AC$22+$AI$22+$AO$22+$AU$22+$BA$22+$BG$22+$BM$22+$BS$22)/$G$22)*BW9,0)</f>
        <v>271536.52308282297</v>
      </c>
      <c r="BY9" s="131">
        <f t="shared" ref="BY9:BY21" si="66">IF((BT$22-BX$22)&gt;0,BX9,BT$22*BX9/BX$22)</f>
        <v>0</v>
      </c>
      <c r="BZ9" s="75" t="s">
        <v>8</v>
      </c>
      <c r="CA9" s="48" t="s">
        <v>8</v>
      </c>
      <c r="CB9" s="52">
        <f t="shared" ref="CB9:CB21" si="67">(((H9+L9+Q9+W9+AC9+AI9+AO9+AU9+BA9+BG9+BM9+BS9+BY9)/G9)/$J$22)/I9</f>
        <v>0.81713574703839031</v>
      </c>
      <c r="CC9" s="51">
        <f t="shared" ref="CC9:CC21" si="68">CA$22-CB9</f>
        <v>2.3885670010329818E-2</v>
      </c>
      <c r="CD9" s="53">
        <f t="shared" ref="CD9:CD21" si="69">IF(CC9&gt;0,$G9*$I9*(($H$22+$L$22+$Q$22+$W$22+$AC$22+$AI$22+$AO$22+$AU$22+$BA$22+$BG$22+$BM$22+$BS$22+$BY$22)/$G$22)*CC9,0)</f>
        <v>271536.52308282297</v>
      </c>
      <c r="CE9" s="131">
        <f t="shared" ref="CE9:CE21" si="70">IF((BZ$22-CD$22)&gt;0,CD9,BZ$22*CD9/CD$22)</f>
        <v>0</v>
      </c>
      <c r="CF9" s="75" t="s">
        <v>8</v>
      </c>
      <c r="CG9" s="48" t="s">
        <v>8</v>
      </c>
      <c r="CH9" s="52">
        <f t="shared" ref="CH9:CH21" si="71">(((H9+L9+Q9+W9+AC9+AI9+AO9+AU9+BA9+BG9+BM9+BS9+BY9+CE9)/G9)/$J$22)/I9</f>
        <v>0.81713574703839031</v>
      </c>
      <c r="CI9" s="51">
        <f t="shared" ref="CI9:CI21" si="72">CG$22-CH9</f>
        <v>2.3885670010329818E-2</v>
      </c>
      <c r="CJ9" s="53">
        <f t="shared" ref="CJ9:CJ21" si="73">IF(CI9&gt;0,$G9*$I9*(($H$22+$L$22+$Q$22+$W$22+$AC$22+$AI$22+$AO$22+$AU$22+$BA$22+$BG$22+$BM$22+$BS$22+$BY$22+$CE$22)/$G$22)*CI9,0)</f>
        <v>271536.52308282297</v>
      </c>
      <c r="CK9" s="131">
        <f t="shared" ref="CK9:CK21" si="74">IF((CF$22-CJ$22)&gt;0,CJ9,CF$22*CJ9/CJ$22)</f>
        <v>0</v>
      </c>
      <c r="CL9" s="75" t="s">
        <v>8</v>
      </c>
      <c r="CM9" s="48" t="s">
        <v>8</v>
      </c>
      <c r="CN9" s="52">
        <f t="shared" ref="CN9:CN21" si="75">(((H9+L9+Q9+W9+AC9+AI9+AO9+AU9+BA9+BG9+BM9+BS9+BY9+CE9+CK9)/G9)/$J$22)/I9</f>
        <v>0.81713574703839031</v>
      </c>
      <c r="CO9" s="51">
        <f t="shared" ref="CO9:CO21" si="76">CM$22-CN9</f>
        <v>2.3885670010329818E-2</v>
      </c>
      <c r="CP9" s="53">
        <f t="shared" ref="CP9:CP21" si="77">IF(CO9&gt;0,$G9*$I9*(($H$22+$L$22+$Q$22+$W$22+$AC$22+$AI$22+$AO$22+$AU$22+$BA$22+$BG$22+$BM$22+$BS$22+$BY$22+$CE$22+$CK$22)/$G$22)*CO9,0)</f>
        <v>271536.52308282297</v>
      </c>
      <c r="CQ9" s="131">
        <f t="shared" ref="CQ9:CQ21" si="78">IF((CL$22-CP$22)&gt;0,CP9,CL$22*CP9/CP$22)</f>
        <v>0</v>
      </c>
      <c r="CR9" s="75" t="s">
        <v>8</v>
      </c>
      <c r="CS9" s="48" t="s">
        <v>8</v>
      </c>
      <c r="CT9" s="52">
        <f t="shared" ref="CT9:CT21" si="79">(((H9+L9+Q9+W9+AC9+AI9+AO9+AU9+BA9+BG9+BM9+BS9+BY9+CE9+CK9+CQ9)/G9)/$J$22)/I9</f>
        <v>0.81713574703839031</v>
      </c>
      <c r="CU9" s="51">
        <f t="shared" ref="CU9:CU21" si="80">CS$22-CT9</f>
        <v>2.3885670010329818E-2</v>
      </c>
      <c r="CV9" s="53">
        <f t="shared" ref="CV9:CV21" si="81">IF(CU9&gt;0,$G9*$I9*(($H$22+$L$22+$Q$22+$W$22+$AC$22+$AI$22+$AO$22+$AU$22+$BA$22+$BG$22+$BM$22+$BS$22+$BY$22+$CE$22+$CK$22+$CQ$22)/$G$22)*CU9,0)</f>
        <v>271536.52308282297</v>
      </c>
      <c r="CW9" s="131">
        <f t="shared" ref="CW9:CW21" si="82">IF((CR$22-CV$22)&gt;0,CV9,CR$22*CV9/CV$22)</f>
        <v>0</v>
      </c>
      <c r="CX9" s="75" t="s">
        <v>8</v>
      </c>
      <c r="CY9" s="48" t="s">
        <v>8</v>
      </c>
      <c r="CZ9" s="52">
        <f t="shared" ref="CZ9:CZ21" si="83">(((H9+L9+Q9+W9+AC9+AI9+AO9+AU9+BA9+BG9+BM9+BS9+BY9+CE9+CK9+CQ9+CW9)/G9)/$J$22)/I9</f>
        <v>0.81713574703839031</v>
      </c>
      <c r="DA9" s="51">
        <f t="shared" ref="DA9:DA21" si="84">CY$22-CZ9</f>
        <v>2.3885670010329818E-2</v>
      </c>
      <c r="DB9" s="53">
        <f t="shared" ref="DB9:DB21" si="85">IF(DA9&gt;0,$G9*$I9*(($H$22+$L$22+$Q$22+$W$22+$AC$22+$AI$22+$AO$22+$AU$22+$BA$22+$BG$22+$BM$22+$BS$22+$BY$22+$CE$22+$CK$22+$CQ$22+$CW$22)/$G$22)*DA9,0)</f>
        <v>271536.52308282297</v>
      </c>
      <c r="DC9" s="131">
        <f t="shared" ref="DC9:DC21" si="86">IF((CX$22-DB$22)&gt;0,DB9,CX$22*DB9/DB$22)</f>
        <v>0</v>
      </c>
      <c r="DD9" s="75" t="s">
        <v>8</v>
      </c>
      <c r="DE9" s="48" t="s">
        <v>8</v>
      </c>
      <c r="DF9" s="52">
        <f t="shared" ref="DF9:DF21" si="87">(((H9+L9+Q9+W9+AC9+AI9+AO9+AU9+BA9+BG9+BM9+BS9+BY9+CE9+CK9+CQ9+CW9+DC9)/G9)/$J$22)/I9</f>
        <v>0.81713574703839031</v>
      </c>
      <c r="DG9" s="51">
        <f t="shared" ref="DG9:DG21" si="88">DE$22-DF9</f>
        <v>2.3885670010329818E-2</v>
      </c>
      <c r="DH9" s="53">
        <f t="shared" ref="DH9:DH21" si="89">IF(DG9&gt;0,$G9*$I9*(($H$22+$L$22+$Q$22+$W$22+$AC$22+$AI$22+$AO$22+$AU$22+$BA$22+$BG$22+$BM$22+$BS$22+$BY$22+$CE$22+$CK$22+$CQ$22+$CW$22+$DC$22)/$G$22)*DG9,0)</f>
        <v>271536.52308282297</v>
      </c>
      <c r="DI9" s="131">
        <f t="shared" ref="DI9:DI21" si="90">IF((DD$22-DH$22)&gt;0,DH9,DD$22*DH9/DH$22)</f>
        <v>0</v>
      </c>
      <c r="DJ9" s="75" t="s">
        <v>8</v>
      </c>
      <c r="DK9" s="48" t="s">
        <v>8</v>
      </c>
      <c r="DL9" s="52">
        <f t="shared" ref="DL9:DL21" si="91">(((H9+L9+Q9+W9+AC9+AI9+AO9+AU9+BA9+BG9+BM9+BS9+BY9+CE9+CK9+CQ9+CW9+DC9+DI9)/G9)/$J$22)/I9</f>
        <v>0.81713574703839031</v>
      </c>
      <c r="DM9" s="51">
        <f t="shared" ref="DM9:DM21" si="92">DK$22-DL9</f>
        <v>2.3885670010329818E-2</v>
      </c>
      <c r="DN9" s="53">
        <f t="shared" ref="DN9:DN21" si="93">IF(DM9&gt;0,$G9*$I9*(($H$22+$L$22+$Q$22+$W$22+$AC$22+$AI$22+$AO$22+$AU$22+$BA$22+$BG$22+$BM$22+$BS$22+$BY$22+$CE$22+$CK$22+$CQ$22+$CW$22+$DC$22+$DI$22)/$G$22)*DM9,0)</f>
        <v>271536.52308282297</v>
      </c>
      <c r="DO9" s="131">
        <f t="shared" ref="DO9:DO21" si="94">IF((DJ$22-DN$22)&gt;0,DN9,DJ$22*DN9/DN$22)</f>
        <v>0</v>
      </c>
      <c r="DP9" s="75" t="s">
        <v>8</v>
      </c>
      <c r="DQ9" s="48" t="s">
        <v>8</v>
      </c>
      <c r="DR9" s="52">
        <f t="shared" ref="DR9:DR21" si="95">(((H9+L9+Q9+W9+AC9+AI9+AO9+AU9+BA9+BG9+BM9+BS9+BY9+CE9+CK9+CQ9+CW9+DC9+DI9+DO9)/G9)/$J$22)/I9</f>
        <v>0.81713574703839031</v>
      </c>
      <c r="DS9" s="51">
        <f t="shared" ref="DS9:DS21" si="96">DQ$22-DR9</f>
        <v>2.3885670010329818E-2</v>
      </c>
      <c r="DT9" s="53">
        <f>IF(DS9&gt;0,$G9*$I9*(($H$22+$L$22+$Q$22+$W$22+$AC$22+$AI$22+$AO$22+$AU$22+$BA$22+$BG$22+$BM$22+$BS$22+$BY$22+$CE$22+$CK$22+$CQ$22+$CW$22+$DC$22+$DI$22+$DO$22)/$G$22)*DS9,0)</f>
        <v>271536.52308282297</v>
      </c>
      <c r="DU9" s="131">
        <f t="shared" ref="DU9:DU21" si="97">IF((DP$22-DT$22)&gt;0,DT9,DP$22*DT9/DT$22)</f>
        <v>0</v>
      </c>
      <c r="DV9" s="174" t="s">
        <v>8</v>
      </c>
      <c r="DW9" s="163" t="s">
        <v>8</v>
      </c>
      <c r="DX9" s="199">
        <f t="shared" ref="DX9:DX21" si="98">((($H9+$L9+$Q9+$W9+$AC9+$AI9+$AO9+$AU9+$BA9+$BG9+$BM9+$BS9+$BY9+$CE9+$CK9+$CQ9+$CW9+$DC9+$DI9+$DO9+$DU9)/$G9)/$J$22)/$I9</f>
        <v>0.81713574703839031</v>
      </c>
      <c r="DY9" s="164">
        <f t="shared" ref="DY9:DY21" si="99">DW$22-DX9</f>
        <v>2.3885670010329818E-2</v>
      </c>
      <c r="DZ9" s="34">
        <f t="shared" ref="DZ9:DZ21" si="100">IF(DY9&gt;0,$G9*$I9*(($H$22+$L$22+$Q$22+$W$22+$AC$22+$AI$22+$AO$22+$AU$22+$BA$22+$BG$22+$BM$22+$BS$22+$BY$22+$CE$22+$CK$22+$CQ$22+$CW$22+$DC$22+$DI$22+$DO$22+$DU$22)/$G$22)*DY9,0)</f>
        <v>271536.52308282297</v>
      </c>
      <c r="EA9" s="165">
        <f t="shared" ref="EA9:EA21" si="101">IF((DV$22-DZ$22)&gt;0,DZ9,DV$22*DZ9/DZ$22)</f>
        <v>0</v>
      </c>
      <c r="EB9" s="174" t="s">
        <v>8</v>
      </c>
      <c r="EC9" s="163" t="s">
        <v>8</v>
      </c>
      <c r="ED9" s="199">
        <f t="shared" ref="ED9:ED21" si="102">((($H9+$L9+$Q9+$W9+$AC9+$AI9+$AO9+$AU9+$BA9+$BG9+$BM9+$BS9+$BY9+$CE9+$CK9+$CQ9+$CW9+$DC9+$DI9+$DO9+$DU9+$EA9)/$G9)/$J$22)/$I9</f>
        <v>0.81713574703839031</v>
      </c>
      <c r="EE9" s="164">
        <f t="shared" ref="EE9:EE21" si="103">EC$22-ED9</f>
        <v>2.3885670010329818E-2</v>
      </c>
      <c r="EF9" s="34">
        <f t="shared" ref="EF9:EF21" si="104">IF(EE9&gt;0,$G9*$I9*(($H$22+$L$22+$Q$22+$W$22+$AC$22+$AI$22+$AO$22+$AU$22+$BA$22+$BG$22+$BM$22+$BS$22+$BY$22+$CE$22+$CK$22+$CQ$22+$CW$22+$DC$22+$DI$22+$DO$22+$DU$22+$EA$22)/$G$22)*EE9,0)</f>
        <v>271536.52308282297</v>
      </c>
      <c r="EG9" s="165">
        <f t="shared" ref="EG9:EG21" si="105">IF((EB$22-EF$22)&gt;0,EF9,EB$22*EF9/EF$22)</f>
        <v>0</v>
      </c>
      <c r="EH9" s="174" t="s">
        <v>8</v>
      </c>
      <c r="EI9" s="163" t="s">
        <v>8</v>
      </c>
      <c r="EJ9" s="199">
        <f t="shared" ref="EJ9:EJ21" si="106">((($H9+$L9+$Q9+$W9+$AC9+$AI9+$AO9+$AU9+$BA9+$BG9+$BM9+$BS9+$BY9+$CE9+$CK9+$CQ9+$CW9+$DC9+$DI9+$DO9+$DU9+$EA9+$EG9)/$G9)/$J$22)/$I9</f>
        <v>0.81713574703839031</v>
      </c>
      <c r="EK9" s="164">
        <f t="shared" ref="EK9:EK21" si="107">EI$22-EJ9</f>
        <v>2.3885670010329818E-2</v>
      </c>
      <c r="EL9" s="34">
        <f t="shared" ref="EL9:EL21" si="108">IF(EK9&gt;0,$G9*$I9*(($H$22+$L$22+$Q$22+$W$22+$AC$22+$AI$22+$AO$22+$AU$22+$BA$22+$BG$22+$BM$22+$BS$22+$BY$22+$CE$22+$CK$22+$CQ$22+$CW$22+$DC$22+$DI$22+$DO$22+$DU$22+$EA$22+$EG$22)/$G$22)*EK9,0)</f>
        <v>271536.52308282297</v>
      </c>
      <c r="EM9" s="165">
        <f t="shared" ref="EM9:EM21" si="109">IF((EH$22-EL$22)&gt;0,EL9,EH$22*EL9/EL$22)</f>
        <v>0</v>
      </c>
      <c r="EN9" s="75" t="s">
        <v>8</v>
      </c>
      <c r="EO9" s="48" t="s">
        <v>8</v>
      </c>
      <c r="EP9" s="199">
        <f t="shared" ref="EP9:EP21" si="110">((($H9+$L9+$Q9+$W9+$AC9+$AI9+$AO9+$AU9+$BA9+$BG9+$BM9+$BS9+$BY9+$CE9+$CK9+$CQ9+$CW9+$DC9+$DI9+$DO9+$DU9+$EA9+$EG9+$EM9)/$G9)/$J$22)/$I9</f>
        <v>0.81713574703839031</v>
      </c>
      <c r="EQ9" s="51">
        <f t="shared" ref="EQ9:EQ21" si="111">EO$22-EP9</f>
        <v>2.3885670010329818E-2</v>
      </c>
      <c r="ER9" s="53">
        <f t="shared" ref="ER9:ER21" si="112">IF(EQ9&gt;0,$G9*$I9*(($H$22+$L$22+$Q$22+$W$22+$AC$22+$AI$22+$AO$22+$AU$22+$BA$22+$BG$22+$BM$22+$BS$22+$BY$22+$CE$22+$CK$22+$CQ$22+$CW$22+$DC$22+$DI$22+$DO$22+$DU$22+$EA$22+$EG$22+$EM$22)/$G$22)*EQ9,0)</f>
        <v>271536.52308282297</v>
      </c>
      <c r="ES9" s="79">
        <f t="shared" ref="ES9:ES21" si="113">IF((EN$22-ER$22)&gt;0,ER9,EN$22*ER9/ER$22)</f>
        <v>0</v>
      </c>
      <c r="ET9" s="174" t="s">
        <v>8</v>
      </c>
      <c r="EU9" s="163" t="s">
        <v>8</v>
      </c>
      <c r="EV9" s="199">
        <f t="shared" ref="EV9:EV21" si="114">((($H9+$L9+$Q9+$W9+$AC9+$AI9+$AO9+$AU9+$BA9+$BG9+$BM9+$BS9+$BY9+$CE9+$CK9+$CQ9+$CW9+$DC9+$DI9+$DO9+$DU9+$EA9+$EG9+$EM9+$ES9)/$G9)/$J$22)/$I9</f>
        <v>0.81713574703839031</v>
      </c>
      <c r="EW9" s="164">
        <f t="shared" ref="EW9:EW21" si="115">EU$22-EV9</f>
        <v>2.3885670010329818E-2</v>
      </c>
      <c r="EX9" s="34">
        <f t="shared" ref="EX9:EX21" si="116">IF(EW9&gt;0,$G9*$I9*(($H$22+$L$22+$Q$22+$W$22+$AC$22+$AI$22+$AO$22+$AU$22+$BA$22+$BG$22+$BM$22+$BS$22+$BY$22+$CE$22+$CK$22+$CQ$22+$CW$22+$DC$22+$DI$22+$DO$22+$DU$22+$EA$22+$EG$22+$EM$22+$ES$22)/$G$22)*EW9,0)</f>
        <v>271536.52308282297</v>
      </c>
      <c r="EY9" s="165">
        <f t="shared" ref="EY9:EY21" si="117">IF((ET$22-EX$22)&gt;0,EX9,ET$22*EX9/EX$22)</f>
        <v>0</v>
      </c>
      <c r="EZ9" s="174" t="s">
        <v>8</v>
      </c>
      <c r="FA9" s="163" t="s">
        <v>8</v>
      </c>
      <c r="FB9" s="199">
        <f t="shared" ref="FB9:FB21" si="118">((($H9+$L9+$Q9+$W9+$AC9+$AI9+$AO9+$AU9+$BA9+$BG9+$BM9+$BS9+$BY9+$CE9+$CK9+$CQ9+$CW9+$DC9+$DI9+$DO9+$DU9+$EA9+$EG9+$EM9+$ES9+$EY9)/$G9)/$J$22)/$I9</f>
        <v>0.81713574703839031</v>
      </c>
      <c r="FC9" s="164">
        <f t="shared" ref="FC9:FC21" si="119">FA$22-FB9</f>
        <v>2.3885670010329818E-2</v>
      </c>
      <c r="FD9" s="34">
        <f t="shared" ref="FD9:FD21" si="120">IF(FC9&gt;0,$G9*$I9*(($H$22+$L$22+$Q$22+$W$22+$AC$22+$AI$22+$AO$22+$AU$22+$BA$22+$BG$22+$BM$22+$BS$22+$BY$22+$CE$22+$CK$22+$CQ$22+$CW$22+$DC$22+$DI$22+$DO$22+$DU$22+$EA$22+$EG$22+$EM$22+$ES$22+$EY$22)/$G$22)*FC9,0)</f>
        <v>271536.52308282297</v>
      </c>
      <c r="FE9" s="165">
        <f t="shared" ref="FE9:FE21" si="121">IF((EZ$22-FD$22)&gt;0,FD9,EZ$22*FD9/FD$22)</f>
        <v>0</v>
      </c>
      <c r="FF9" s="174" t="s">
        <v>8</v>
      </c>
      <c r="FG9" s="163" t="s">
        <v>8</v>
      </c>
      <c r="FH9" s="199">
        <f t="shared" ref="FH9:FH21" si="122">((($H9+$L9+$Q9+$W9+$AC9+$AI9+$AO9+$AU9+$BA9+$BG9+$BM9+$BS9+$BY9+$CE9+$CK9+$CQ9+$CW9+$DC9+$DI9+$DO9+$DU9+$EA9+$EG9+$EM9+$ES9+$EY9+$FE9)/$G9)/$J$22)/$I9</f>
        <v>0.81713574703839031</v>
      </c>
      <c r="FI9" s="164">
        <f t="shared" ref="FI9:FI21" si="123">FG$22-FH9</f>
        <v>2.3885670010329818E-2</v>
      </c>
      <c r="FJ9" s="34">
        <f t="shared" ref="FJ9:FJ21" si="124">IF(FI9&gt;0,$G9*$I9*(($H$22+$L$22+$Q$22+$W$22+$AC$22+$AI$22+$AO$22+$AU$22+$BA$22+$BG$22+$BM$22+$BS$22+$BY$22+$CE$22+$CK$22+$CQ$22+$CW$22+$DC$22+$DI$22+$DO$22+$DU$22+$EA$22+$EG$22+$EM$22+$ES$22+$EY$22+$FE$22)/$G$22)*FI9,0)</f>
        <v>271536.52308282297</v>
      </c>
      <c r="FK9" s="165">
        <f t="shared" ref="FK9:FK21" si="125">IF((FF$22-FJ$22)&gt;0,FJ9,FF$22*FJ9/FJ$22)</f>
        <v>0</v>
      </c>
      <c r="FL9" s="174" t="s">
        <v>8</v>
      </c>
      <c r="FM9" s="163" t="s">
        <v>8</v>
      </c>
      <c r="FN9" s="199">
        <f t="shared" ref="FN9:FN21" si="126">((($H9+$L9+$Q9+$W9+$AC9+$AI9+$AO9+$AU9+$BA9+$BG9+$BM9+$BS9+$BY9+$CE9+$CK9+$CQ9+$CW9+$DC9+$DI9+$DO9+$DU9+$EA9+$EG9+$EM9+$ES9+$EY9+$FE9+$FK9)/$G9)/$J$22)/$I9</f>
        <v>0.81713574703839031</v>
      </c>
      <c r="FO9" s="164">
        <f t="shared" ref="FO9:FO21" si="127">FM$22-FN9</f>
        <v>2.3885670010329818E-2</v>
      </c>
      <c r="FP9" s="34">
        <f t="shared" ref="FP9:FP21" si="128">IF(FO9&gt;0,$G9*$I9*(($H$22+$L$22+$Q$22+$W$22+$AC$22+$AI$22+$AO$22+$AU$22+$BA$22+$BG$22+$BM$22+$BS$22+$BY$22+$CE$22+$CK$22+$CQ$22+$CW$22+$DC$22+$DI$22+$DO$22+$DU$22+$EA$22+$EG$22+$EM$22+$ES$22+$EY$22+$FE$22+$FK$22)/$G$22)*FO9,0)</f>
        <v>271536.52308282297</v>
      </c>
      <c r="FQ9" s="165">
        <f t="shared" ref="FQ9:FQ21" si="129">IF((FL$22-FP$22)&gt;0,FP9,FL$22*FP9/FP$22)</f>
        <v>0</v>
      </c>
      <c r="FR9" s="174" t="s">
        <v>8</v>
      </c>
      <c r="FS9" s="163" t="s">
        <v>8</v>
      </c>
      <c r="FT9" s="199">
        <f t="shared" ref="FT9:FT21" si="130">((($H9+$L9+$Q9+$W9+$AC9+$AI9+$AO9+$AU9+$BA9+$BG9+$BM9+$BS9+$BY9+$CE9+$CK9+$CQ9+$CW9+$DC9+$DI9+$DO9+$DU9+$EA9+$EG9+$EM9+$ES9+$EY9+$FE9+$FK9+$FQ9)/$G9)/$J$22)/$I9</f>
        <v>0.81713574703839031</v>
      </c>
      <c r="FU9" s="164">
        <f t="shared" ref="FU9:FU21" si="131">FS$22-FT9</f>
        <v>2.3885670010329818E-2</v>
      </c>
      <c r="FV9" s="34">
        <f t="shared" ref="FV9:FV21" si="132">IF(FU9&gt;0,$G9*$I9*(($H$22+$L$22+$Q$22+$W$22+$AC$22+$AI$22+$AO$22+$AU$22+$BA$22+$BG$22+$BM$22+$BS$22+$BY$22+$CE$22+$CK$22+$CQ$22+$CW$22+$DC$22+$DI$22+$DO$22+$DU$22+$EA$22+$EG$22+$EM$22+$ES$22+$EY$22+$FE$22+$FK$22+$FQ$22)/$G$22)*FU9,0)</f>
        <v>271536.52308282297</v>
      </c>
      <c r="FW9" s="165">
        <f t="shared" ref="FW9:FW21" si="133">IF((FR$22-FV$22)&gt;0,FV9,FR$22*FV9/FV$22)</f>
        <v>0</v>
      </c>
      <c r="FX9" s="174" t="s">
        <v>8</v>
      </c>
      <c r="FY9" s="163" t="s">
        <v>8</v>
      </c>
      <c r="FZ9" s="199">
        <f t="shared" ref="FZ9:FZ21" si="134">((($H9+$L9+$Q9+$W9+$AC9+$AI9+$AO9+$AU9+$BA9+$BG9+$BM9+$BS9+$BY9+$CE9+$CK9+$CQ9+$CW9+$DC9+$DI9+$DO9+$DU9+$EA9+$EG9+$EM9+$ES9+$EY9+$FE9+$FK9+$FQ9+$FW9)/$G9)/$J$22)/$I9</f>
        <v>0.81713574703839031</v>
      </c>
      <c r="GA9" s="164">
        <f t="shared" ref="GA9:GA21" si="135">FY$22-FZ9</f>
        <v>2.3885670010329818E-2</v>
      </c>
      <c r="GB9" s="34">
        <f t="shared" ref="GB9:GB21" si="136">IF(GA9&gt;0,$G9*$I9*(($H$22+$L$22+$Q$22+$W$22+$AC$22+$AI$22+$AO$22+$AU$22+$BA$22+$BG$22+$BM$22+$BS$22+$BY$22+$CE$22+$CK$22+$CQ$22+$CW$22+$DC$22+$DI$22+$DO$22+$DU$22+$EA$22+$EG$22+$EM$22+$ES$22+$EY$22+$FE$22+$FK$22+$FQ$22+$FW$22)/$G$22)*GA9,0)</f>
        <v>271536.52308282297</v>
      </c>
      <c r="GC9" s="165">
        <f t="shared" ref="GC9:GC21" si="137">IF((FX$22-GB$22)&gt;0,GB9,FX$22*GB9/GB$22)</f>
        <v>0</v>
      </c>
      <c r="GD9" s="174" t="s">
        <v>8</v>
      </c>
      <c r="GE9" s="163" t="s">
        <v>8</v>
      </c>
      <c r="GF9" s="199">
        <f t="shared" ref="GF9:GF21" si="138">((($H9+$L9+$Q9+$W9+$AC9+$AI9+$AO9+$AU9+$BA9+$BG9+$BM9+$BS9+$BY9+$CE9+$CK9+$CQ9+$CW9+$DC9+$DI9+$DO9+$DU9+$EA9+$EG9+$EM9+$ES9+$EY9+$FE9+$FK9+$FQ9+$FW9+$GC9)/$G9)/$J$22)/$I9</f>
        <v>0.81713574703839031</v>
      </c>
      <c r="GG9" s="164">
        <f t="shared" ref="GG9:GG21" si="139">GE$22-GF9</f>
        <v>2.3885670010329818E-2</v>
      </c>
      <c r="GH9" s="34">
        <f t="shared" ref="GH9:GH21" si="140">IF(GG9&gt;0,$G9*$I9*(($H$22+$L$22+$Q$22+$W$22+$AC$22+$AI$22+$AO$22+$AU$22+$BA$22+$BG$22+$BM$22+$BS$22+$BY$22+$CE$22+$CK$22+$CQ$22+$CW$22+$DC$22+$DI$22+$DO$22+$DU$22+$EA$22+$EG$22+$EM$22+$ES$22+$EY$22+$FE$22+$FK$22+$FQ$22+$FW$22+$GC$22)/$G$22)*GG9,0)</f>
        <v>271536.52308282297</v>
      </c>
      <c r="GI9" s="180">
        <f t="shared" ref="GI9:GI21" si="141">IF((GD$22-GH$22)&gt;0,GH9,GD$22*GH9/GH$22)</f>
        <v>0</v>
      </c>
      <c r="GJ9" s="223">
        <f>Q9+W9+AC9+AI9+AO9+AU9+BA9+BG9+BM9+BS9+BY9+CE9+CK9+CQ9+CW9+DC9+DI9+DO9+DU9+EA9+EG9+EM9+ES9+EY9+FE9+FK9+FQ9+FW9+GC9+GI9</f>
        <v>1322828.7776772673</v>
      </c>
      <c r="GK9" s="166">
        <f>L9+GJ9</f>
        <v>2161056.067798486</v>
      </c>
      <c r="GL9" s="167">
        <f t="shared" ref="GL9:GL21" si="142">K9+GK9/($H$22/$G$22)/G9/I9</f>
        <v>0.81713574703839031</v>
      </c>
      <c r="GN9" s="214">
        <v>2161056.0699999998</v>
      </c>
    </row>
    <row r="10" spans="1:196" s="25" customFormat="1" ht="30" x14ac:dyDescent="0.25">
      <c r="A10" s="184" t="s">
        <v>174</v>
      </c>
      <c r="B10" s="155" t="s">
        <v>8</v>
      </c>
      <c r="C10" s="155" t="s">
        <v>8</v>
      </c>
      <c r="D10" s="155" t="s">
        <v>8</v>
      </c>
      <c r="E10" s="155" t="s">
        <v>8</v>
      </c>
      <c r="F10" s="155" t="s">
        <v>8</v>
      </c>
      <c r="G10" s="113">
        <f>'Исходные данные 25 г.'!C12</f>
        <v>188</v>
      </c>
      <c r="H10" s="49">
        <f>'Исходные данные 2027г. '!D12</f>
        <v>65760</v>
      </c>
      <c r="I10" s="32">
        <f>'Расчет КРП'!H8</f>
        <v>6.6057870073762368</v>
      </c>
      <c r="J10" s="120" t="s">
        <v>8</v>
      </c>
      <c r="K10" s="124">
        <f t="shared" si="22"/>
        <v>8.1783658671020637E-2</v>
      </c>
      <c r="L10" s="77">
        <f t="shared" si="23"/>
        <v>182815.23264824727</v>
      </c>
      <c r="M10" s="73">
        <f t="shared" si="24"/>
        <v>0.3091452551851247</v>
      </c>
      <c r="N10" s="30" t="s">
        <v>8</v>
      </c>
      <c r="O10" s="33">
        <f t="shared" si="25"/>
        <v>0.11683848974674027</v>
      </c>
      <c r="P10" s="34">
        <f t="shared" ref="P10:P21" si="143">IF(O10&gt;0,G10*I10*(($H$22+$L$22)/$G$22)*O10,0)</f>
        <v>235045.28673185059</v>
      </c>
      <c r="Q10" s="80">
        <f t="shared" si="26"/>
        <v>235045.28673185059</v>
      </c>
      <c r="R10" s="160" t="s">
        <v>8</v>
      </c>
      <c r="S10" s="30" t="s">
        <v>8</v>
      </c>
      <c r="T10" s="35">
        <f t="shared" si="27"/>
        <v>0.60146373910102868</v>
      </c>
      <c r="U10" s="33">
        <f t="shared" si="28"/>
        <v>8.3156918666109636E-3</v>
      </c>
      <c r="V10" s="53">
        <f t="shared" si="29"/>
        <v>20378.945573730736</v>
      </c>
      <c r="W10" s="80">
        <f t="shared" si="30"/>
        <v>20378.945573730736</v>
      </c>
      <c r="X10" s="76" t="s">
        <v>8</v>
      </c>
      <c r="Y10" s="30" t="s">
        <v>8</v>
      </c>
      <c r="Z10" s="35">
        <f t="shared" si="31"/>
        <v>0.62680839738687577</v>
      </c>
      <c r="AA10" s="33">
        <f t="shared" si="32"/>
        <v>0.12076032350113453</v>
      </c>
      <c r="AB10" s="53">
        <f t="shared" si="33"/>
        <v>348714.24721925409</v>
      </c>
      <c r="AC10" s="80">
        <f t="shared" si="34"/>
        <v>227230.7255323315</v>
      </c>
      <c r="AD10" s="76" t="s">
        <v>8</v>
      </c>
      <c r="AE10" s="30" t="s">
        <v>8</v>
      </c>
      <c r="AF10" s="35">
        <f t="shared" si="35"/>
        <v>0.90940815554540033</v>
      </c>
      <c r="AG10" s="33">
        <f t="shared" si="36"/>
        <v>-6.8386738496680199E-2</v>
      </c>
      <c r="AH10" s="53">
        <f t="shared" si="37"/>
        <v>0</v>
      </c>
      <c r="AI10" s="80">
        <f t="shared" si="38"/>
        <v>0</v>
      </c>
      <c r="AJ10" s="76" t="s">
        <v>8</v>
      </c>
      <c r="AK10" s="30" t="s">
        <v>8</v>
      </c>
      <c r="AL10" s="35">
        <f t="shared" si="39"/>
        <v>0.90940815554540033</v>
      </c>
      <c r="AM10" s="33">
        <f t="shared" si="40"/>
        <v>-6.8386738496680199E-2</v>
      </c>
      <c r="AN10" s="53">
        <f t="shared" si="41"/>
        <v>0</v>
      </c>
      <c r="AO10" s="80">
        <f t="shared" si="42"/>
        <v>0</v>
      </c>
      <c r="AP10" s="76" t="s">
        <v>8</v>
      </c>
      <c r="AQ10" s="30" t="s">
        <v>8</v>
      </c>
      <c r="AR10" s="35">
        <f t="shared" si="43"/>
        <v>0.90940815554540033</v>
      </c>
      <c r="AS10" s="33">
        <f t="shared" si="44"/>
        <v>-6.8386738496680199E-2</v>
      </c>
      <c r="AT10" s="53">
        <f t="shared" si="45"/>
        <v>0</v>
      </c>
      <c r="AU10" s="80">
        <f t="shared" si="46"/>
        <v>0</v>
      </c>
      <c r="AV10" s="76" t="s">
        <v>8</v>
      </c>
      <c r="AW10" s="30" t="s">
        <v>8</v>
      </c>
      <c r="AX10" s="35">
        <f t="shared" si="47"/>
        <v>0.90940815554540033</v>
      </c>
      <c r="AY10" s="33">
        <f t="shared" si="48"/>
        <v>-6.8386738496680199E-2</v>
      </c>
      <c r="AZ10" s="53">
        <f t="shared" si="49"/>
        <v>0</v>
      </c>
      <c r="BA10" s="80">
        <f t="shared" si="50"/>
        <v>0</v>
      </c>
      <c r="BB10" s="76" t="s">
        <v>8</v>
      </c>
      <c r="BC10" s="30" t="s">
        <v>8</v>
      </c>
      <c r="BD10" s="35">
        <f t="shared" si="51"/>
        <v>0.90940815554540033</v>
      </c>
      <c r="BE10" s="33">
        <f t="shared" si="52"/>
        <v>-6.8386738496680199E-2</v>
      </c>
      <c r="BF10" s="53">
        <f t="shared" si="53"/>
        <v>0</v>
      </c>
      <c r="BG10" s="80">
        <f t="shared" si="54"/>
        <v>0</v>
      </c>
      <c r="BH10" s="76" t="s">
        <v>8</v>
      </c>
      <c r="BI10" s="30" t="s">
        <v>8</v>
      </c>
      <c r="BJ10" s="35">
        <f t="shared" si="55"/>
        <v>0.90940815554540033</v>
      </c>
      <c r="BK10" s="33">
        <f t="shared" si="56"/>
        <v>-6.8386738496680199E-2</v>
      </c>
      <c r="BL10" s="53">
        <f t="shared" si="57"/>
        <v>0</v>
      </c>
      <c r="BM10" s="80">
        <f t="shared" si="58"/>
        <v>0</v>
      </c>
      <c r="BN10" s="76" t="s">
        <v>8</v>
      </c>
      <c r="BO10" s="30" t="s">
        <v>8</v>
      </c>
      <c r="BP10" s="35">
        <f t="shared" si="59"/>
        <v>0.90940815554540033</v>
      </c>
      <c r="BQ10" s="33">
        <f t="shared" si="60"/>
        <v>-6.8386738496680199E-2</v>
      </c>
      <c r="BR10" s="53">
        <f t="shared" si="61"/>
        <v>0</v>
      </c>
      <c r="BS10" s="132">
        <f t="shared" si="62"/>
        <v>0</v>
      </c>
      <c r="BT10" s="76" t="s">
        <v>8</v>
      </c>
      <c r="BU10" s="30" t="s">
        <v>8</v>
      </c>
      <c r="BV10" s="35">
        <f t="shared" si="63"/>
        <v>0.90940815554540033</v>
      </c>
      <c r="BW10" s="33">
        <f t="shared" si="64"/>
        <v>-6.8386738496680199E-2</v>
      </c>
      <c r="BX10" s="53">
        <f t="shared" si="65"/>
        <v>0</v>
      </c>
      <c r="BY10" s="132">
        <f t="shared" si="66"/>
        <v>0</v>
      </c>
      <c r="BZ10" s="76" t="s">
        <v>8</v>
      </c>
      <c r="CA10" s="30" t="s">
        <v>8</v>
      </c>
      <c r="CB10" s="35">
        <f t="shared" si="67"/>
        <v>0.90940815554540033</v>
      </c>
      <c r="CC10" s="33">
        <f t="shared" si="68"/>
        <v>-6.8386738496680199E-2</v>
      </c>
      <c r="CD10" s="53">
        <f t="shared" si="69"/>
        <v>0</v>
      </c>
      <c r="CE10" s="132">
        <f t="shared" si="70"/>
        <v>0</v>
      </c>
      <c r="CF10" s="76" t="s">
        <v>8</v>
      </c>
      <c r="CG10" s="30" t="s">
        <v>8</v>
      </c>
      <c r="CH10" s="35">
        <f t="shared" si="71"/>
        <v>0.90940815554540033</v>
      </c>
      <c r="CI10" s="33">
        <f t="shared" si="72"/>
        <v>-6.8386738496680199E-2</v>
      </c>
      <c r="CJ10" s="53">
        <f t="shared" si="73"/>
        <v>0</v>
      </c>
      <c r="CK10" s="132">
        <f t="shared" si="74"/>
        <v>0</v>
      </c>
      <c r="CL10" s="76" t="s">
        <v>8</v>
      </c>
      <c r="CM10" s="30" t="s">
        <v>8</v>
      </c>
      <c r="CN10" s="35">
        <f t="shared" si="75"/>
        <v>0.90940815554540033</v>
      </c>
      <c r="CO10" s="33">
        <f t="shared" si="76"/>
        <v>-6.8386738496680199E-2</v>
      </c>
      <c r="CP10" s="53">
        <f t="shared" si="77"/>
        <v>0</v>
      </c>
      <c r="CQ10" s="132">
        <f t="shared" si="78"/>
        <v>0</v>
      </c>
      <c r="CR10" s="76" t="s">
        <v>8</v>
      </c>
      <c r="CS10" s="30" t="s">
        <v>8</v>
      </c>
      <c r="CT10" s="35">
        <f t="shared" si="79"/>
        <v>0.90940815554540033</v>
      </c>
      <c r="CU10" s="33">
        <f t="shared" si="80"/>
        <v>-6.8386738496680199E-2</v>
      </c>
      <c r="CV10" s="53">
        <f t="shared" si="81"/>
        <v>0</v>
      </c>
      <c r="CW10" s="132">
        <f t="shared" si="82"/>
        <v>0</v>
      </c>
      <c r="CX10" s="76" t="s">
        <v>8</v>
      </c>
      <c r="CY10" s="30" t="s">
        <v>8</v>
      </c>
      <c r="CZ10" s="35">
        <f t="shared" si="83"/>
        <v>0.90940815554540033</v>
      </c>
      <c r="DA10" s="33">
        <f t="shared" si="84"/>
        <v>-6.8386738496680199E-2</v>
      </c>
      <c r="DB10" s="53">
        <f t="shared" si="85"/>
        <v>0</v>
      </c>
      <c r="DC10" s="132">
        <f t="shared" si="86"/>
        <v>0</v>
      </c>
      <c r="DD10" s="76" t="s">
        <v>8</v>
      </c>
      <c r="DE10" s="30" t="s">
        <v>8</v>
      </c>
      <c r="DF10" s="35">
        <f t="shared" si="87"/>
        <v>0.90940815554540033</v>
      </c>
      <c r="DG10" s="33">
        <f t="shared" si="88"/>
        <v>-6.8386738496680199E-2</v>
      </c>
      <c r="DH10" s="53">
        <f t="shared" si="89"/>
        <v>0</v>
      </c>
      <c r="DI10" s="132">
        <f t="shared" si="90"/>
        <v>0</v>
      </c>
      <c r="DJ10" s="76" t="s">
        <v>8</v>
      </c>
      <c r="DK10" s="30" t="s">
        <v>8</v>
      </c>
      <c r="DL10" s="35">
        <f t="shared" si="91"/>
        <v>0.90940815554540033</v>
      </c>
      <c r="DM10" s="51">
        <f t="shared" si="92"/>
        <v>-6.8386738496680199E-2</v>
      </c>
      <c r="DN10" s="53">
        <f t="shared" si="93"/>
        <v>0</v>
      </c>
      <c r="DO10" s="132">
        <f t="shared" si="94"/>
        <v>0</v>
      </c>
      <c r="DP10" s="76" t="s">
        <v>8</v>
      </c>
      <c r="DQ10" s="30" t="s">
        <v>8</v>
      </c>
      <c r="DR10" s="35">
        <f t="shared" si="95"/>
        <v>0.90940815554540033</v>
      </c>
      <c r="DS10" s="51">
        <f t="shared" si="96"/>
        <v>-6.8386738496680199E-2</v>
      </c>
      <c r="DT10" s="53">
        <f t="shared" ref="DT10:DT21" si="144">IF(DS10&gt;0,$G10*$I10*(($H$22+$L$22+$Q$22+$W$22+$AC$22+$AI$22+$AO$22+$AU$22+$BA$22+$BG$22+$BM$22+$BS$22+$BY$22+$CE$22+$CK$22+$CQ$22+$CW$22+$DC$22+$DI$22+$DO$22)/$G$22)*DS10,0)</f>
        <v>0</v>
      </c>
      <c r="DU10" s="132">
        <f t="shared" si="97"/>
        <v>0</v>
      </c>
      <c r="DV10" s="76" t="s">
        <v>8</v>
      </c>
      <c r="DW10" s="30" t="s">
        <v>8</v>
      </c>
      <c r="DX10" s="35">
        <f t="shared" si="98"/>
        <v>0.90940815554540033</v>
      </c>
      <c r="DY10" s="33">
        <f t="shared" si="99"/>
        <v>-6.8386738496680199E-2</v>
      </c>
      <c r="DZ10" s="34">
        <f t="shared" si="100"/>
        <v>0</v>
      </c>
      <c r="EA10" s="80">
        <f t="shared" si="101"/>
        <v>0</v>
      </c>
      <c r="EB10" s="76" t="s">
        <v>8</v>
      </c>
      <c r="EC10" s="30" t="s">
        <v>8</v>
      </c>
      <c r="ED10" s="35">
        <f t="shared" si="102"/>
        <v>0.90940815554540033</v>
      </c>
      <c r="EE10" s="33">
        <f t="shared" si="103"/>
        <v>-6.8386738496680199E-2</v>
      </c>
      <c r="EF10" s="34">
        <f t="shared" si="104"/>
        <v>0</v>
      </c>
      <c r="EG10" s="80">
        <f t="shared" si="105"/>
        <v>0</v>
      </c>
      <c r="EH10" s="76" t="s">
        <v>8</v>
      </c>
      <c r="EI10" s="30" t="s">
        <v>8</v>
      </c>
      <c r="EJ10" s="35">
        <f t="shared" si="106"/>
        <v>0.90940815554540033</v>
      </c>
      <c r="EK10" s="33">
        <f t="shared" si="107"/>
        <v>-6.8386738496680199E-2</v>
      </c>
      <c r="EL10" s="34">
        <f t="shared" si="108"/>
        <v>0</v>
      </c>
      <c r="EM10" s="80">
        <f t="shared" si="109"/>
        <v>0</v>
      </c>
      <c r="EN10" s="76" t="s">
        <v>8</v>
      </c>
      <c r="EO10" s="30" t="s">
        <v>8</v>
      </c>
      <c r="EP10" s="35">
        <f t="shared" si="110"/>
        <v>0.90940815554540033</v>
      </c>
      <c r="EQ10" s="51">
        <f t="shared" si="111"/>
        <v>-6.8386738496680199E-2</v>
      </c>
      <c r="ER10" s="34">
        <f t="shared" si="112"/>
        <v>0</v>
      </c>
      <c r="ES10" s="80">
        <f t="shared" si="113"/>
        <v>0</v>
      </c>
      <c r="ET10" s="76" t="s">
        <v>8</v>
      </c>
      <c r="EU10" s="30" t="s">
        <v>8</v>
      </c>
      <c r="EV10" s="35">
        <f t="shared" si="114"/>
        <v>0.90940815554540033</v>
      </c>
      <c r="EW10" s="33">
        <f t="shared" si="115"/>
        <v>-6.8386738496680199E-2</v>
      </c>
      <c r="EX10" s="34">
        <f t="shared" si="116"/>
        <v>0</v>
      </c>
      <c r="EY10" s="80">
        <f t="shared" si="117"/>
        <v>0</v>
      </c>
      <c r="EZ10" s="76" t="s">
        <v>8</v>
      </c>
      <c r="FA10" s="30" t="s">
        <v>8</v>
      </c>
      <c r="FB10" s="35">
        <f t="shared" si="118"/>
        <v>0.90940815554540033</v>
      </c>
      <c r="FC10" s="33">
        <f t="shared" si="119"/>
        <v>-6.8386738496680199E-2</v>
      </c>
      <c r="FD10" s="34">
        <f t="shared" si="120"/>
        <v>0</v>
      </c>
      <c r="FE10" s="80">
        <f t="shared" si="121"/>
        <v>0</v>
      </c>
      <c r="FF10" s="76" t="s">
        <v>8</v>
      </c>
      <c r="FG10" s="30" t="s">
        <v>8</v>
      </c>
      <c r="FH10" s="35">
        <f t="shared" si="122"/>
        <v>0.90940815554540033</v>
      </c>
      <c r="FI10" s="33">
        <f t="shared" si="123"/>
        <v>-6.8386738496680199E-2</v>
      </c>
      <c r="FJ10" s="34">
        <f t="shared" si="124"/>
        <v>0</v>
      </c>
      <c r="FK10" s="80">
        <f t="shared" si="125"/>
        <v>0</v>
      </c>
      <c r="FL10" s="76" t="s">
        <v>8</v>
      </c>
      <c r="FM10" s="30" t="s">
        <v>8</v>
      </c>
      <c r="FN10" s="35">
        <f t="shared" si="126"/>
        <v>0.90940815554540033</v>
      </c>
      <c r="FO10" s="33">
        <f t="shared" si="127"/>
        <v>-6.8386738496680199E-2</v>
      </c>
      <c r="FP10" s="34">
        <f t="shared" si="128"/>
        <v>0</v>
      </c>
      <c r="FQ10" s="80">
        <f t="shared" si="129"/>
        <v>0</v>
      </c>
      <c r="FR10" s="76" t="s">
        <v>8</v>
      </c>
      <c r="FS10" s="30" t="s">
        <v>8</v>
      </c>
      <c r="FT10" s="35">
        <f t="shared" si="130"/>
        <v>0.90940815554540033</v>
      </c>
      <c r="FU10" s="33">
        <f t="shared" si="131"/>
        <v>-6.8386738496680199E-2</v>
      </c>
      <c r="FV10" s="34">
        <f t="shared" si="132"/>
        <v>0</v>
      </c>
      <c r="FW10" s="80">
        <f t="shared" si="133"/>
        <v>0</v>
      </c>
      <c r="FX10" s="76" t="s">
        <v>8</v>
      </c>
      <c r="FY10" s="30" t="s">
        <v>8</v>
      </c>
      <c r="FZ10" s="35">
        <f t="shared" si="134"/>
        <v>0.90940815554540033</v>
      </c>
      <c r="GA10" s="33">
        <f t="shared" si="135"/>
        <v>-6.8386738496680199E-2</v>
      </c>
      <c r="GB10" s="34">
        <f t="shared" si="136"/>
        <v>0</v>
      </c>
      <c r="GC10" s="80">
        <f t="shared" si="137"/>
        <v>0</v>
      </c>
      <c r="GD10" s="76" t="s">
        <v>8</v>
      </c>
      <c r="GE10" s="30" t="s">
        <v>8</v>
      </c>
      <c r="GF10" s="35">
        <f t="shared" si="138"/>
        <v>0.90940815554540033</v>
      </c>
      <c r="GG10" s="33">
        <f t="shared" si="139"/>
        <v>-6.8386738496680199E-2</v>
      </c>
      <c r="GH10" s="34">
        <f t="shared" si="140"/>
        <v>0</v>
      </c>
      <c r="GI10" s="132">
        <f t="shared" si="141"/>
        <v>0</v>
      </c>
      <c r="GJ10" s="223">
        <f t="shared" ref="GJ10:GJ21" si="145">Q10+W10+AC10+AI10+AO10+AU10+BA10+BG10+BM10+BS10+BY10+CE10+CK10+CQ10+CW10+DC10+DI10+DO10+DU10+EA10+EG10+EM10+ES10+EY10+FE10+FK10+FQ10+FW10+GC10+GI10</f>
        <v>482654.95783791284</v>
      </c>
      <c r="GK10" s="104">
        <f t="shared" ref="GK10:GK22" si="146">L10+GJ10</f>
        <v>665470.19048616011</v>
      </c>
      <c r="GL10" s="86">
        <f t="shared" si="142"/>
        <v>0.90940815554540044</v>
      </c>
      <c r="GN10" s="214">
        <v>665470.18999999994</v>
      </c>
    </row>
    <row r="11" spans="1:196" s="25" customFormat="1" ht="30" x14ac:dyDescent="0.25">
      <c r="A11" s="184" t="s">
        <v>175</v>
      </c>
      <c r="B11" s="155" t="s">
        <v>8</v>
      </c>
      <c r="C11" s="155" t="s">
        <v>8</v>
      </c>
      <c r="D11" s="155" t="s">
        <v>8</v>
      </c>
      <c r="E11" s="155" t="s">
        <v>8</v>
      </c>
      <c r="F11" s="155" t="s">
        <v>8</v>
      </c>
      <c r="G11" s="113">
        <f>'Исходные данные 25 г.'!C13</f>
        <v>221</v>
      </c>
      <c r="H11" s="49">
        <f>'Исходные данные 2027г. '!D13</f>
        <v>92170</v>
      </c>
      <c r="I11" s="32">
        <f>'Расчет КРП'!H9</f>
        <v>6.5384147992780157</v>
      </c>
      <c r="J11" s="120" t="s">
        <v>8</v>
      </c>
      <c r="K11" s="124">
        <f t="shared" si="22"/>
        <v>9.8517184408984132E-2</v>
      </c>
      <c r="L11" s="77">
        <f t="shared" si="23"/>
        <v>214905.14050671618</v>
      </c>
      <c r="M11" s="73">
        <f t="shared" si="24"/>
        <v>0.32822152809715605</v>
      </c>
      <c r="N11" s="30" t="s">
        <v>8</v>
      </c>
      <c r="O11" s="33">
        <f t="shared" si="25"/>
        <v>9.7762216834708926E-2</v>
      </c>
      <c r="P11" s="34">
        <f t="shared" si="143"/>
        <v>228833.17168107236</v>
      </c>
      <c r="Q11" s="80">
        <f t="shared" si="26"/>
        <v>228833.17168107236</v>
      </c>
      <c r="R11" s="160" t="s">
        <v>8</v>
      </c>
      <c r="S11" s="30" t="s">
        <v>8</v>
      </c>
      <c r="T11" s="35">
        <f t="shared" si="27"/>
        <v>0.5728130413161745</v>
      </c>
      <c r="U11" s="33">
        <f t="shared" si="28"/>
        <v>3.6966389651465148E-2</v>
      </c>
      <c r="V11" s="53">
        <f t="shared" si="29"/>
        <v>105407.78439758637</v>
      </c>
      <c r="W11" s="80">
        <f t="shared" si="30"/>
        <v>105407.78439758637</v>
      </c>
      <c r="X11" s="76" t="s">
        <v>8</v>
      </c>
      <c r="Y11" s="30" t="s">
        <v>8</v>
      </c>
      <c r="Z11" s="35">
        <f t="shared" si="31"/>
        <v>0.68547961540361579</v>
      </c>
      <c r="AA11" s="33">
        <f t="shared" si="32"/>
        <v>6.2089105484394502E-2</v>
      </c>
      <c r="AB11" s="53">
        <f t="shared" si="33"/>
        <v>208613.85741991355</v>
      </c>
      <c r="AC11" s="80">
        <f t="shared" si="34"/>
        <v>135937.88769926678</v>
      </c>
      <c r="AD11" s="76" t="s">
        <v>8</v>
      </c>
      <c r="AE11" s="30" t="s">
        <v>8</v>
      </c>
      <c r="AF11" s="35">
        <f t="shared" si="35"/>
        <v>0.83077871435811768</v>
      </c>
      <c r="AG11" s="33">
        <f t="shared" si="36"/>
        <v>1.0242702690602457E-2</v>
      </c>
      <c r="AH11" s="53">
        <f t="shared" si="37"/>
        <v>36738.304643362229</v>
      </c>
      <c r="AI11" s="80">
        <f t="shared" si="38"/>
        <v>0</v>
      </c>
      <c r="AJ11" s="76" t="s">
        <v>8</v>
      </c>
      <c r="AK11" s="30" t="s">
        <v>8</v>
      </c>
      <c r="AL11" s="35">
        <f t="shared" si="39"/>
        <v>0.83077871435811768</v>
      </c>
      <c r="AM11" s="33">
        <f t="shared" si="40"/>
        <v>1.0242702690602457E-2</v>
      </c>
      <c r="AN11" s="53">
        <f t="shared" si="41"/>
        <v>36738.304643362229</v>
      </c>
      <c r="AO11" s="80">
        <f t="shared" si="42"/>
        <v>0</v>
      </c>
      <c r="AP11" s="76" t="s">
        <v>8</v>
      </c>
      <c r="AQ11" s="30" t="s">
        <v>8</v>
      </c>
      <c r="AR11" s="35">
        <f t="shared" si="43"/>
        <v>0.83077871435811768</v>
      </c>
      <c r="AS11" s="33">
        <f t="shared" si="44"/>
        <v>1.0242702690602457E-2</v>
      </c>
      <c r="AT11" s="53">
        <f t="shared" si="45"/>
        <v>36738.304643362229</v>
      </c>
      <c r="AU11" s="80">
        <f t="shared" si="46"/>
        <v>0</v>
      </c>
      <c r="AV11" s="76" t="s">
        <v>8</v>
      </c>
      <c r="AW11" s="30" t="s">
        <v>8</v>
      </c>
      <c r="AX11" s="35">
        <f t="shared" si="47"/>
        <v>0.83077871435811768</v>
      </c>
      <c r="AY11" s="33">
        <f t="shared" si="48"/>
        <v>1.0242702690602457E-2</v>
      </c>
      <c r="AZ11" s="53">
        <f t="shared" si="49"/>
        <v>36738.304643362229</v>
      </c>
      <c r="BA11" s="80">
        <f t="shared" si="50"/>
        <v>0</v>
      </c>
      <c r="BB11" s="76" t="s">
        <v>8</v>
      </c>
      <c r="BC11" s="30" t="s">
        <v>8</v>
      </c>
      <c r="BD11" s="35">
        <f t="shared" si="51"/>
        <v>0.83077871435811768</v>
      </c>
      <c r="BE11" s="33">
        <f t="shared" si="52"/>
        <v>1.0242702690602457E-2</v>
      </c>
      <c r="BF11" s="53">
        <f t="shared" si="53"/>
        <v>36738.304643362229</v>
      </c>
      <c r="BG11" s="80">
        <f t="shared" si="54"/>
        <v>0</v>
      </c>
      <c r="BH11" s="76" t="s">
        <v>8</v>
      </c>
      <c r="BI11" s="30" t="s">
        <v>8</v>
      </c>
      <c r="BJ11" s="35">
        <f t="shared" si="55"/>
        <v>0.83077871435811768</v>
      </c>
      <c r="BK11" s="33">
        <f t="shared" si="56"/>
        <v>1.0242702690602457E-2</v>
      </c>
      <c r="BL11" s="53">
        <f t="shared" si="57"/>
        <v>36738.304643362229</v>
      </c>
      <c r="BM11" s="80">
        <f t="shared" si="58"/>
        <v>0</v>
      </c>
      <c r="BN11" s="76" t="s">
        <v>8</v>
      </c>
      <c r="BO11" s="30" t="s">
        <v>8</v>
      </c>
      <c r="BP11" s="35">
        <f t="shared" si="59"/>
        <v>0.83077871435811768</v>
      </c>
      <c r="BQ11" s="33">
        <f t="shared" si="60"/>
        <v>1.0242702690602457E-2</v>
      </c>
      <c r="BR11" s="53">
        <f t="shared" si="61"/>
        <v>36738.304643362229</v>
      </c>
      <c r="BS11" s="132">
        <f t="shared" si="62"/>
        <v>0</v>
      </c>
      <c r="BT11" s="76" t="s">
        <v>8</v>
      </c>
      <c r="BU11" s="30" t="s">
        <v>8</v>
      </c>
      <c r="BV11" s="35">
        <f t="shared" si="63"/>
        <v>0.83077871435811768</v>
      </c>
      <c r="BW11" s="33">
        <f t="shared" si="64"/>
        <v>1.0242702690602457E-2</v>
      </c>
      <c r="BX11" s="53">
        <f t="shared" si="65"/>
        <v>36738.304643362229</v>
      </c>
      <c r="BY11" s="132">
        <f t="shared" si="66"/>
        <v>0</v>
      </c>
      <c r="BZ11" s="76" t="s">
        <v>8</v>
      </c>
      <c r="CA11" s="30" t="s">
        <v>8</v>
      </c>
      <c r="CB11" s="35">
        <f t="shared" si="67"/>
        <v>0.83077871435811768</v>
      </c>
      <c r="CC11" s="33">
        <f t="shared" si="68"/>
        <v>1.0242702690602457E-2</v>
      </c>
      <c r="CD11" s="53">
        <f t="shared" si="69"/>
        <v>36738.304643362229</v>
      </c>
      <c r="CE11" s="132">
        <f t="shared" si="70"/>
        <v>0</v>
      </c>
      <c r="CF11" s="76" t="s">
        <v>8</v>
      </c>
      <c r="CG11" s="30" t="s">
        <v>8</v>
      </c>
      <c r="CH11" s="35">
        <f t="shared" si="71"/>
        <v>0.83077871435811768</v>
      </c>
      <c r="CI11" s="33">
        <f t="shared" si="72"/>
        <v>1.0242702690602457E-2</v>
      </c>
      <c r="CJ11" s="53">
        <f t="shared" si="73"/>
        <v>36738.304643362229</v>
      </c>
      <c r="CK11" s="132">
        <f t="shared" si="74"/>
        <v>0</v>
      </c>
      <c r="CL11" s="76" t="s">
        <v>8</v>
      </c>
      <c r="CM11" s="30" t="s">
        <v>8</v>
      </c>
      <c r="CN11" s="35">
        <f t="shared" si="75"/>
        <v>0.83077871435811768</v>
      </c>
      <c r="CO11" s="33">
        <f t="shared" si="76"/>
        <v>1.0242702690602457E-2</v>
      </c>
      <c r="CP11" s="53">
        <f t="shared" si="77"/>
        <v>36738.304643362229</v>
      </c>
      <c r="CQ11" s="132">
        <f t="shared" si="78"/>
        <v>0</v>
      </c>
      <c r="CR11" s="76" t="s">
        <v>8</v>
      </c>
      <c r="CS11" s="30" t="s">
        <v>8</v>
      </c>
      <c r="CT11" s="35">
        <f t="shared" si="79"/>
        <v>0.83077871435811768</v>
      </c>
      <c r="CU11" s="33">
        <f t="shared" si="80"/>
        <v>1.0242702690602457E-2</v>
      </c>
      <c r="CV11" s="53">
        <f t="shared" si="81"/>
        <v>36738.304643362229</v>
      </c>
      <c r="CW11" s="132">
        <f t="shared" si="82"/>
        <v>0</v>
      </c>
      <c r="CX11" s="76" t="s">
        <v>8</v>
      </c>
      <c r="CY11" s="30" t="s">
        <v>8</v>
      </c>
      <c r="CZ11" s="35">
        <f t="shared" si="83"/>
        <v>0.83077871435811768</v>
      </c>
      <c r="DA11" s="33">
        <f t="shared" si="84"/>
        <v>1.0242702690602457E-2</v>
      </c>
      <c r="DB11" s="53">
        <f t="shared" si="85"/>
        <v>36738.304643362229</v>
      </c>
      <c r="DC11" s="132">
        <f t="shared" si="86"/>
        <v>0</v>
      </c>
      <c r="DD11" s="76" t="s">
        <v>8</v>
      </c>
      <c r="DE11" s="30" t="s">
        <v>8</v>
      </c>
      <c r="DF11" s="35">
        <f t="shared" si="87"/>
        <v>0.83077871435811768</v>
      </c>
      <c r="DG11" s="33">
        <f t="shared" si="88"/>
        <v>1.0242702690602457E-2</v>
      </c>
      <c r="DH11" s="53">
        <f t="shared" si="89"/>
        <v>36738.304643362229</v>
      </c>
      <c r="DI11" s="132">
        <f t="shared" si="90"/>
        <v>0</v>
      </c>
      <c r="DJ11" s="76" t="s">
        <v>8</v>
      </c>
      <c r="DK11" s="30" t="s">
        <v>8</v>
      </c>
      <c r="DL11" s="35">
        <f t="shared" si="91"/>
        <v>0.83077871435811768</v>
      </c>
      <c r="DM11" s="51">
        <f t="shared" si="92"/>
        <v>1.0242702690602457E-2</v>
      </c>
      <c r="DN11" s="53">
        <f t="shared" si="93"/>
        <v>36738.304643362229</v>
      </c>
      <c r="DO11" s="132">
        <f t="shared" si="94"/>
        <v>0</v>
      </c>
      <c r="DP11" s="76" t="s">
        <v>8</v>
      </c>
      <c r="DQ11" s="30" t="s">
        <v>8</v>
      </c>
      <c r="DR11" s="35">
        <f t="shared" si="95"/>
        <v>0.83077871435811768</v>
      </c>
      <c r="DS11" s="51">
        <f t="shared" si="96"/>
        <v>1.0242702690602457E-2</v>
      </c>
      <c r="DT11" s="53">
        <f t="shared" si="144"/>
        <v>36738.304643362229</v>
      </c>
      <c r="DU11" s="132">
        <f t="shared" si="97"/>
        <v>0</v>
      </c>
      <c r="DV11" s="76" t="s">
        <v>8</v>
      </c>
      <c r="DW11" s="30" t="s">
        <v>8</v>
      </c>
      <c r="DX11" s="35">
        <f t="shared" si="98"/>
        <v>0.83077871435811768</v>
      </c>
      <c r="DY11" s="33">
        <f t="shared" si="99"/>
        <v>1.0242702690602457E-2</v>
      </c>
      <c r="DZ11" s="34">
        <f t="shared" si="100"/>
        <v>36738.304643362229</v>
      </c>
      <c r="EA11" s="80">
        <f t="shared" si="101"/>
        <v>0</v>
      </c>
      <c r="EB11" s="76" t="s">
        <v>8</v>
      </c>
      <c r="EC11" s="30" t="s">
        <v>8</v>
      </c>
      <c r="ED11" s="35">
        <f t="shared" si="102"/>
        <v>0.83077871435811768</v>
      </c>
      <c r="EE11" s="33">
        <f t="shared" si="103"/>
        <v>1.0242702690602457E-2</v>
      </c>
      <c r="EF11" s="34">
        <f t="shared" si="104"/>
        <v>36738.304643362229</v>
      </c>
      <c r="EG11" s="80">
        <f t="shared" si="105"/>
        <v>0</v>
      </c>
      <c r="EH11" s="76" t="s">
        <v>8</v>
      </c>
      <c r="EI11" s="30" t="s">
        <v>8</v>
      </c>
      <c r="EJ11" s="35">
        <f t="shared" si="106"/>
        <v>0.83077871435811768</v>
      </c>
      <c r="EK11" s="33">
        <f t="shared" si="107"/>
        <v>1.0242702690602457E-2</v>
      </c>
      <c r="EL11" s="34">
        <f t="shared" si="108"/>
        <v>36738.304643362229</v>
      </c>
      <c r="EM11" s="80">
        <f t="shared" si="109"/>
        <v>0</v>
      </c>
      <c r="EN11" s="76" t="s">
        <v>8</v>
      </c>
      <c r="EO11" s="30" t="s">
        <v>8</v>
      </c>
      <c r="EP11" s="35">
        <f t="shared" si="110"/>
        <v>0.83077871435811768</v>
      </c>
      <c r="EQ11" s="51">
        <f t="shared" si="111"/>
        <v>1.0242702690602457E-2</v>
      </c>
      <c r="ER11" s="34">
        <f t="shared" si="112"/>
        <v>36738.304643362229</v>
      </c>
      <c r="ES11" s="80">
        <f t="shared" si="113"/>
        <v>0</v>
      </c>
      <c r="ET11" s="76" t="s">
        <v>8</v>
      </c>
      <c r="EU11" s="30" t="s">
        <v>8</v>
      </c>
      <c r="EV11" s="35">
        <f t="shared" si="114"/>
        <v>0.83077871435811768</v>
      </c>
      <c r="EW11" s="33">
        <f t="shared" si="115"/>
        <v>1.0242702690602457E-2</v>
      </c>
      <c r="EX11" s="34">
        <f t="shared" si="116"/>
        <v>36738.304643362229</v>
      </c>
      <c r="EY11" s="80">
        <f t="shared" si="117"/>
        <v>0</v>
      </c>
      <c r="EZ11" s="76" t="s">
        <v>8</v>
      </c>
      <c r="FA11" s="30" t="s">
        <v>8</v>
      </c>
      <c r="FB11" s="35">
        <f t="shared" si="118"/>
        <v>0.83077871435811768</v>
      </c>
      <c r="FC11" s="33">
        <f t="shared" si="119"/>
        <v>1.0242702690602457E-2</v>
      </c>
      <c r="FD11" s="34">
        <f t="shared" si="120"/>
        <v>36738.304643362229</v>
      </c>
      <c r="FE11" s="80">
        <f t="shared" si="121"/>
        <v>0</v>
      </c>
      <c r="FF11" s="76" t="s">
        <v>8</v>
      </c>
      <c r="FG11" s="30" t="s">
        <v>8</v>
      </c>
      <c r="FH11" s="35">
        <f t="shared" si="122"/>
        <v>0.83077871435811768</v>
      </c>
      <c r="FI11" s="33">
        <f t="shared" si="123"/>
        <v>1.0242702690602457E-2</v>
      </c>
      <c r="FJ11" s="34">
        <f t="shared" si="124"/>
        <v>36738.304643362229</v>
      </c>
      <c r="FK11" s="80">
        <f t="shared" si="125"/>
        <v>0</v>
      </c>
      <c r="FL11" s="76" t="s">
        <v>8</v>
      </c>
      <c r="FM11" s="30" t="s">
        <v>8</v>
      </c>
      <c r="FN11" s="35">
        <f t="shared" si="126"/>
        <v>0.83077871435811768</v>
      </c>
      <c r="FO11" s="33">
        <f t="shared" si="127"/>
        <v>1.0242702690602457E-2</v>
      </c>
      <c r="FP11" s="34">
        <f t="shared" si="128"/>
        <v>36738.304643362229</v>
      </c>
      <c r="FQ11" s="80">
        <f t="shared" si="129"/>
        <v>0</v>
      </c>
      <c r="FR11" s="76" t="s">
        <v>8</v>
      </c>
      <c r="FS11" s="30" t="s">
        <v>8</v>
      </c>
      <c r="FT11" s="35">
        <f t="shared" si="130"/>
        <v>0.83077871435811768</v>
      </c>
      <c r="FU11" s="33">
        <f t="shared" si="131"/>
        <v>1.0242702690602457E-2</v>
      </c>
      <c r="FV11" s="34">
        <f t="shared" si="132"/>
        <v>36738.304643362229</v>
      </c>
      <c r="FW11" s="80">
        <f t="shared" si="133"/>
        <v>0</v>
      </c>
      <c r="FX11" s="76" t="s">
        <v>8</v>
      </c>
      <c r="FY11" s="30" t="s">
        <v>8</v>
      </c>
      <c r="FZ11" s="35">
        <f t="shared" si="134"/>
        <v>0.83077871435811768</v>
      </c>
      <c r="GA11" s="33">
        <f t="shared" si="135"/>
        <v>1.0242702690602457E-2</v>
      </c>
      <c r="GB11" s="34">
        <f t="shared" si="136"/>
        <v>36738.304643362229</v>
      </c>
      <c r="GC11" s="80">
        <f t="shared" si="137"/>
        <v>0</v>
      </c>
      <c r="GD11" s="76" t="s">
        <v>8</v>
      </c>
      <c r="GE11" s="30" t="s">
        <v>8</v>
      </c>
      <c r="GF11" s="35">
        <f t="shared" si="138"/>
        <v>0.83077871435811768</v>
      </c>
      <c r="GG11" s="33">
        <f t="shared" si="139"/>
        <v>1.0242702690602457E-2</v>
      </c>
      <c r="GH11" s="34">
        <f t="shared" si="140"/>
        <v>36738.304643362229</v>
      </c>
      <c r="GI11" s="132">
        <f t="shared" si="141"/>
        <v>0</v>
      </c>
      <c r="GJ11" s="223">
        <f t="shared" si="145"/>
        <v>470178.84377792547</v>
      </c>
      <c r="GK11" s="104">
        <f>L11+GJ11</f>
        <v>685083.98428464169</v>
      </c>
      <c r="GL11" s="86">
        <f t="shared" si="142"/>
        <v>0.83077871435811768</v>
      </c>
      <c r="GN11" s="214">
        <v>685083.98</v>
      </c>
    </row>
    <row r="12" spans="1:196" s="25" customFormat="1" x14ac:dyDescent="0.25">
      <c r="A12" s="184" t="s">
        <v>176</v>
      </c>
      <c r="B12" s="155" t="s">
        <v>8</v>
      </c>
      <c r="C12" s="155" t="s">
        <v>8</v>
      </c>
      <c r="D12" s="155" t="s">
        <v>8</v>
      </c>
      <c r="E12" s="155" t="s">
        <v>8</v>
      </c>
      <c r="F12" s="155" t="s">
        <v>8</v>
      </c>
      <c r="G12" s="113">
        <f>'Исходные данные 25 г.'!C14</f>
        <v>526</v>
      </c>
      <c r="H12" s="49">
        <f>'Исходные данные 2027г. '!D14</f>
        <v>147720</v>
      </c>
      <c r="I12" s="32">
        <f>'Расчет КРП'!H10</f>
        <v>5.9961293756220142</v>
      </c>
      <c r="J12" s="120" t="s">
        <v>8</v>
      </c>
      <c r="K12" s="124">
        <f t="shared" si="22"/>
        <v>7.2338534541206215E-2</v>
      </c>
      <c r="L12" s="77">
        <f t="shared" si="23"/>
        <v>511493.68283498968</v>
      </c>
      <c r="M12" s="73">
        <f t="shared" si="24"/>
        <v>0.32281716602893751</v>
      </c>
      <c r="N12" s="30" t="s">
        <v>8</v>
      </c>
      <c r="O12" s="33">
        <f t="shared" si="25"/>
        <v>0.10316657890292746</v>
      </c>
      <c r="P12" s="34">
        <f t="shared" si="143"/>
        <v>527082.94601490931</v>
      </c>
      <c r="Q12" s="80">
        <f t="shared" si="26"/>
        <v>527082.94601490931</v>
      </c>
      <c r="R12" s="160" t="s">
        <v>8</v>
      </c>
      <c r="S12" s="30" t="s">
        <v>8</v>
      </c>
      <c r="T12" s="35">
        <f t="shared" si="27"/>
        <v>0.58092986502961597</v>
      </c>
      <c r="U12" s="33">
        <f t="shared" si="28"/>
        <v>2.884956593802368E-2</v>
      </c>
      <c r="V12" s="53">
        <f t="shared" si="29"/>
        <v>179554.76197769179</v>
      </c>
      <c r="W12" s="80">
        <f t="shared" si="30"/>
        <v>179554.76197769179</v>
      </c>
      <c r="X12" s="76" t="s">
        <v>8</v>
      </c>
      <c r="Y12" s="30" t="s">
        <v>8</v>
      </c>
      <c r="Z12" s="35">
        <f t="shared" si="31"/>
        <v>0.66885789340330504</v>
      </c>
      <c r="AA12" s="33">
        <f t="shared" si="32"/>
        <v>7.8710827484705259E-2</v>
      </c>
      <c r="AB12" s="53">
        <f t="shared" si="33"/>
        <v>577237.085292581</v>
      </c>
      <c r="AC12" s="80">
        <f t="shared" si="34"/>
        <v>376141.79157047998</v>
      </c>
      <c r="AD12" s="76" t="s">
        <v>8</v>
      </c>
      <c r="AE12" s="30" t="s">
        <v>8</v>
      </c>
      <c r="AF12" s="35">
        <f t="shared" si="35"/>
        <v>0.85305465742924824</v>
      </c>
      <c r="AG12" s="33">
        <f t="shared" si="36"/>
        <v>-1.203324038052811E-2</v>
      </c>
      <c r="AH12" s="53">
        <f t="shared" si="37"/>
        <v>0</v>
      </c>
      <c r="AI12" s="80">
        <f t="shared" si="38"/>
        <v>0</v>
      </c>
      <c r="AJ12" s="76" t="s">
        <v>8</v>
      </c>
      <c r="AK12" s="30" t="s">
        <v>8</v>
      </c>
      <c r="AL12" s="35">
        <f t="shared" si="39"/>
        <v>0.85305465742924824</v>
      </c>
      <c r="AM12" s="33">
        <f t="shared" si="40"/>
        <v>-1.203324038052811E-2</v>
      </c>
      <c r="AN12" s="53">
        <f t="shared" si="41"/>
        <v>0</v>
      </c>
      <c r="AO12" s="80">
        <f t="shared" si="42"/>
        <v>0</v>
      </c>
      <c r="AP12" s="76" t="s">
        <v>8</v>
      </c>
      <c r="AQ12" s="30" t="s">
        <v>8</v>
      </c>
      <c r="AR12" s="35">
        <f t="shared" si="43"/>
        <v>0.85305465742924824</v>
      </c>
      <c r="AS12" s="33">
        <f t="shared" si="44"/>
        <v>-1.203324038052811E-2</v>
      </c>
      <c r="AT12" s="53">
        <f t="shared" si="45"/>
        <v>0</v>
      </c>
      <c r="AU12" s="80">
        <f t="shared" si="46"/>
        <v>0</v>
      </c>
      <c r="AV12" s="76" t="s">
        <v>8</v>
      </c>
      <c r="AW12" s="30" t="s">
        <v>8</v>
      </c>
      <c r="AX12" s="35">
        <f t="shared" si="47"/>
        <v>0.85305465742924824</v>
      </c>
      <c r="AY12" s="33">
        <f t="shared" si="48"/>
        <v>-1.203324038052811E-2</v>
      </c>
      <c r="AZ12" s="53">
        <f t="shared" si="49"/>
        <v>0</v>
      </c>
      <c r="BA12" s="80">
        <f t="shared" si="50"/>
        <v>0</v>
      </c>
      <c r="BB12" s="76" t="s">
        <v>8</v>
      </c>
      <c r="BC12" s="30" t="s">
        <v>8</v>
      </c>
      <c r="BD12" s="35">
        <f t="shared" si="51"/>
        <v>0.85305465742924824</v>
      </c>
      <c r="BE12" s="33">
        <f t="shared" si="52"/>
        <v>-1.203324038052811E-2</v>
      </c>
      <c r="BF12" s="53">
        <f t="shared" si="53"/>
        <v>0</v>
      </c>
      <c r="BG12" s="80">
        <f t="shared" si="54"/>
        <v>0</v>
      </c>
      <c r="BH12" s="76" t="s">
        <v>8</v>
      </c>
      <c r="BI12" s="30" t="s">
        <v>8</v>
      </c>
      <c r="BJ12" s="35">
        <f t="shared" si="55"/>
        <v>0.85305465742924824</v>
      </c>
      <c r="BK12" s="33">
        <f t="shared" si="56"/>
        <v>-1.203324038052811E-2</v>
      </c>
      <c r="BL12" s="53">
        <f t="shared" si="57"/>
        <v>0</v>
      </c>
      <c r="BM12" s="80">
        <f t="shared" si="58"/>
        <v>0</v>
      </c>
      <c r="BN12" s="76" t="s">
        <v>8</v>
      </c>
      <c r="BO12" s="30" t="s">
        <v>8</v>
      </c>
      <c r="BP12" s="35">
        <f t="shared" si="59"/>
        <v>0.85305465742924824</v>
      </c>
      <c r="BQ12" s="33">
        <f t="shared" si="60"/>
        <v>-1.203324038052811E-2</v>
      </c>
      <c r="BR12" s="53">
        <f t="shared" si="61"/>
        <v>0</v>
      </c>
      <c r="BS12" s="132">
        <f t="shared" si="62"/>
        <v>0</v>
      </c>
      <c r="BT12" s="76" t="s">
        <v>8</v>
      </c>
      <c r="BU12" s="30" t="s">
        <v>8</v>
      </c>
      <c r="BV12" s="35">
        <f t="shared" si="63"/>
        <v>0.85305465742924824</v>
      </c>
      <c r="BW12" s="33">
        <f t="shared" si="64"/>
        <v>-1.203324038052811E-2</v>
      </c>
      <c r="BX12" s="53">
        <f t="shared" si="65"/>
        <v>0</v>
      </c>
      <c r="BY12" s="132">
        <f t="shared" si="66"/>
        <v>0</v>
      </c>
      <c r="BZ12" s="76" t="s">
        <v>8</v>
      </c>
      <c r="CA12" s="30" t="s">
        <v>8</v>
      </c>
      <c r="CB12" s="35">
        <f t="shared" si="67"/>
        <v>0.85305465742924824</v>
      </c>
      <c r="CC12" s="33">
        <f t="shared" si="68"/>
        <v>-1.203324038052811E-2</v>
      </c>
      <c r="CD12" s="53">
        <f t="shared" si="69"/>
        <v>0</v>
      </c>
      <c r="CE12" s="132">
        <f t="shared" si="70"/>
        <v>0</v>
      </c>
      <c r="CF12" s="76" t="s">
        <v>8</v>
      </c>
      <c r="CG12" s="30" t="s">
        <v>8</v>
      </c>
      <c r="CH12" s="35">
        <f t="shared" si="71"/>
        <v>0.85305465742924824</v>
      </c>
      <c r="CI12" s="33">
        <f t="shared" si="72"/>
        <v>-1.203324038052811E-2</v>
      </c>
      <c r="CJ12" s="53">
        <f t="shared" si="73"/>
        <v>0</v>
      </c>
      <c r="CK12" s="132">
        <f t="shared" si="74"/>
        <v>0</v>
      </c>
      <c r="CL12" s="76" t="s">
        <v>8</v>
      </c>
      <c r="CM12" s="30" t="s">
        <v>8</v>
      </c>
      <c r="CN12" s="35">
        <f t="shared" si="75"/>
        <v>0.85305465742924824</v>
      </c>
      <c r="CO12" s="33">
        <f t="shared" si="76"/>
        <v>-1.203324038052811E-2</v>
      </c>
      <c r="CP12" s="53">
        <f t="shared" si="77"/>
        <v>0</v>
      </c>
      <c r="CQ12" s="132">
        <f t="shared" si="78"/>
        <v>0</v>
      </c>
      <c r="CR12" s="76" t="s">
        <v>8</v>
      </c>
      <c r="CS12" s="30" t="s">
        <v>8</v>
      </c>
      <c r="CT12" s="35">
        <f t="shared" si="79"/>
        <v>0.85305465742924824</v>
      </c>
      <c r="CU12" s="33">
        <f t="shared" si="80"/>
        <v>-1.203324038052811E-2</v>
      </c>
      <c r="CV12" s="53">
        <f t="shared" si="81"/>
        <v>0</v>
      </c>
      <c r="CW12" s="132">
        <f t="shared" si="82"/>
        <v>0</v>
      </c>
      <c r="CX12" s="76" t="s">
        <v>8</v>
      </c>
      <c r="CY12" s="30" t="s">
        <v>8</v>
      </c>
      <c r="CZ12" s="35">
        <f t="shared" si="83"/>
        <v>0.85305465742924824</v>
      </c>
      <c r="DA12" s="33">
        <f t="shared" si="84"/>
        <v>-1.203324038052811E-2</v>
      </c>
      <c r="DB12" s="53">
        <f t="shared" si="85"/>
        <v>0</v>
      </c>
      <c r="DC12" s="132">
        <f t="shared" si="86"/>
        <v>0</v>
      </c>
      <c r="DD12" s="76" t="s">
        <v>8</v>
      </c>
      <c r="DE12" s="30" t="s">
        <v>8</v>
      </c>
      <c r="DF12" s="35">
        <f t="shared" si="87"/>
        <v>0.85305465742924824</v>
      </c>
      <c r="DG12" s="33">
        <f t="shared" si="88"/>
        <v>-1.203324038052811E-2</v>
      </c>
      <c r="DH12" s="53">
        <f t="shared" si="89"/>
        <v>0</v>
      </c>
      <c r="DI12" s="132">
        <f t="shared" si="90"/>
        <v>0</v>
      </c>
      <c r="DJ12" s="76" t="s">
        <v>8</v>
      </c>
      <c r="DK12" s="30" t="s">
        <v>8</v>
      </c>
      <c r="DL12" s="35">
        <f t="shared" si="91"/>
        <v>0.85305465742924824</v>
      </c>
      <c r="DM12" s="51">
        <f t="shared" si="92"/>
        <v>-1.203324038052811E-2</v>
      </c>
      <c r="DN12" s="53">
        <f t="shared" si="93"/>
        <v>0</v>
      </c>
      <c r="DO12" s="132">
        <f t="shared" si="94"/>
        <v>0</v>
      </c>
      <c r="DP12" s="76" t="s">
        <v>8</v>
      </c>
      <c r="DQ12" s="30" t="s">
        <v>8</v>
      </c>
      <c r="DR12" s="35">
        <f t="shared" si="95"/>
        <v>0.85305465742924824</v>
      </c>
      <c r="DS12" s="51">
        <f t="shared" si="96"/>
        <v>-1.203324038052811E-2</v>
      </c>
      <c r="DT12" s="53">
        <f t="shared" si="144"/>
        <v>0</v>
      </c>
      <c r="DU12" s="132">
        <f t="shared" si="97"/>
        <v>0</v>
      </c>
      <c r="DV12" s="76" t="s">
        <v>8</v>
      </c>
      <c r="DW12" s="30" t="s">
        <v>8</v>
      </c>
      <c r="DX12" s="35">
        <f t="shared" si="98"/>
        <v>0.85305465742924824</v>
      </c>
      <c r="DY12" s="33">
        <f t="shared" si="99"/>
        <v>-1.203324038052811E-2</v>
      </c>
      <c r="DZ12" s="34">
        <f t="shared" si="100"/>
        <v>0</v>
      </c>
      <c r="EA12" s="80">
        <f t="shared" si="101"/>
        <v>0</v>
      </c>
      <c r="EB12" s="76" t="s">
        <v>8</v>
      </c>
      <c r="EC12" s="30" t="s">
        <v>8</v>
      </c>
      <c r="ED12" s="35">
        <f t="shared" si="102"/>
        <v>0.85305465742924824</v>
      </c>
      <c r="EE12" s="33">
        <f t="shared" si="103"/>
        <v>-1.203324038052811E-2</v>
      </c>
      <c r="EF12" s="34">
        <f t="shared" si="104"/>
        <v>0</v>
      </c>
      <c r="EG12" s="80">
        <f t="shared" si="105"/>
        <v>0</v>
      </c>
      <c r="EH12" s="76" t="s">
        <v>8</v>
      </c>
      <c r="EI12" s="30" t="s">
        <v>8</v>
      </c>
      <c r="EJ12" s="35">
        <f t="shared" si="106"/>
        <v>0.85305465742924824</v>
      </c>
      <c r="EK12" s="33">
        <f t="shared" si="107"/>
        <v>-1.203324038052811E-2</v>
      </c>
      <c r="EL12" s="34">
        <f t="shared" si="108"/>
        <v>0</v>
      </c>
      <c r="EM12" s="80">
        <f t="shared" si="109"/>
        <v>0</v>
      </c>
      <c r="EN12" s="76" t="s">
        <v>8</v>
      </c>
      <c r="EO12" s="30" t="s">
        <v>8</v>
      </c>
      <c r="EP12" s="35">
        <f t="shared" si="110"/>
        <v>0.85305465742924824</v>
      </c>
      <c r="EQ12" s="51">
        <f t="shared" si="111"/>
        <v>-1.203324038052811E-2</v>
      </c>
      <c r="ER12" s="34">
        <f t="shared" si="112"/>
        <v>0</v>
      </c>
      <c r="ES12" s="80">
        <f t="shared" si="113"/>
        <v>0</v>
      </c>
      <c r="ET12" s="76" t="s">
        <v>8</v>
      </c>
      <c r="EU12" s="30" t="s">
        <v>8</v>
      </c>
      <c r="EV12" s="35">
        <f t="shared" si="114"/>
        <v>0.85305465742924824</v>
      </c>
      <c r="EW12" s="33">
        <f t="shared" si="115"/>
        <v>-1.203324038052811E-2</v>
      </c>
      <c r="EX12" s="34">
        <f t="shared" si="116"/>
        <v>0</v>
      </c>
      <c r="EY12" s="80">
        <f t="shared" si="117"/>
        <v>0</v>
      </c>
      <c r="EZ12" s="76" t="s">
        <v>8</v>
      </c>
      <c r="FA12" s="30" t="s">
        <v>8</v>
      </c>
      <c r="FB12" s="35">
        <f t="shared" si="118"/>
        <v>0.85305465742924824</v>
      </c>
      <c r="FC12" s="33">
        <f t="shared" si="119"/>
        <v>-1.203324038052811E-2</v>
      </c>
      <c r="FD12" s="34">
        <f t="shared" si="120"/>
        <v>0</v>
      </c>
      <c r="FE12" s="80">
        <f t="shared" si="121"/>
        <v>0</v>
      </c>
      <c r="FF12" s="76" t="s">
        <v>8</v>
      </c>
      <c r="FG12" s="30" t="s">
        <v>8</v>
      </c>
      <c r="FH12" s="35">
        <f t="shared" si="122"/>
        <v>0.85305465742924824</v>
      </c>
      <c r="FI12" s="33">
        <f t="shared" si="123"/>
        <v>-1.203324038052811E-2</v>
      </c>
      <c r="FJ12" s="34">
        <f t="shared" si="124"/>
        <v>0</v>
      </c>
      <c r="FK12" s="80">
        <f t="shared" si="125"/>
        <v>0</v>
      </c>
      <c r="FL12" s="76" t="s">
        <v>8</v>
      </c>
      <c r="FM12" s="30" t="s">
        <v>8</v>
      </c>
      <c r="FN12" s="35">
        <f t="shared" si="126"/>
        <v>0.85305465742924824</v>
      </c>
      <c r="FO12" s="33">
        <f t="shared" si="127"/>
        <v>-1.203324038052811E-2</v>
      </c>
      <c r="FP12" s="34">
        <f t="shared" si="128"/>
        <v>0</v>
      </c>
      <c r="FQ12" s="80">
        <f t="shared" si="129"/>
        <v>0</v>
      </c>
      <c r="FR12" s="76" t="s">
        <v>8</v>
      </c>
      <c r="FS12" s="30" t="s">
        <v>8</v>
      </c>
      <c r="FT12" s="35">
        <f t="shared" si="130"/>
        <v>0.85305465742924824</v>
      </c>
      <c r="FU12" s="33">
        <f t="shared" si="131"/>
        <v>-1.203324038052811E-2</v>
      </c>
      <c r="FV12" s="34">
        <f t="shared" si="132"/>
        <v>0</v>
      </c>
      <c r="FW12" s="80">
        <f t="shared" si="133"/>
        <v>0</v>
      </c>
      <c r="FX12" s="76" t="s">
        <v>8</v>
      </c>
      <c r="FY12" s="30" t="s">
        <v>8</v>
      </c>
      <c r="FZ12" s="35">
        <f t="shared" si="134"/>
        <v>0.85305465742924824</v>
      </c>
      <c r="GA12" s="33">
        <f t="shared" si="135"/>
        <v>-1.203324038052811E-2</v>
      </c>
      <c r="GB12" s="34">
        <f t="shared" si="136"/>
        <v>0</v>
      </c>
      <c r="GC12" s="80">
        <f t="shared" si="137"/>
        <v>0</v>
      </c>
      <c r="GD12" s="76" t="s">
        <v>8</v>
      </c>
      <c r="GE12" s="30" t="s">
        <v>8</v>
      </c>
      <c r="GF12" s="35">
        <f t="shared" si="138"/>
        <v>0.85305465742924824</v>
      </c>
      <c r="GG12" s="33">
        <f t="shared" si="139"/>
        <v>-1.203324038052811E-2</v>
      </c>
      <c r="GH12" s="34">
        <f t="shared" si="140"/>
        <v>0</v>
      </c>
      <c r="GI12" s="132">
        <f t="shared" si="141"/>
        <v>0</v>
      </c>
      <c r="GJ12" s="223">
        <f t="shared" si="145"/>
        <v>1082779.4995630812</v>
      </c>
      <c r="GK12" s="104">
        <f t="shared" si="146"/>
        <v>1594273.1823980708</v>
      </c>
      <c r="GL12" s="86">
        <f t="shared" si="142"/>
        <v>0.85305465742924824</v>
      </c>
      <c r="GN12" s="214">
        <v>1594273.18</v>
      </c>
    </row>
    <row r="13" spans="1:196" s="25" customFormat="1" ht="15.75" customHeight="1" x14ac:dyDescent="0.25">
      <c r="A13" s="184" t="s">
        <v>177</v>
      </c>
      <c r="B13" s="155" t="s">
        <v>8</v>
      </c>
      <c r="C13" s="155" t="s">
        <v>8</v>
      </c>
      <c r="D13" s="155" t="s">
        <v>8</v>
      </c>
      <c r="E13" s="155" t="s">
        <v>8</v>
      </c>
      <c r="F13" s="155" t="s">
        <v>8</v>
      </c>
      <c r="G13" s="113">
        <f>'Исходные данные 25 г.'!C15</f>
        <v>171</v>
      </c>
      <c r="H13" s="49">
        <f>'Исходные данные 2027г. '!D15</f>
        <v>74050</v>
      </c>
      <c r="I13" s="32">
        <f>'Расчет КРП'!H11</f>
        <v>8.0956912299775894</v>
      </c>
      <c r="J13" s="120" t="s">
        <v>8</v>
      </c>
      <c r="K13" s="124">
        <f t="shared" si="22"/>
        <v>8.261561936831549E-2</v>
      </c>
      <c r="L13" s="77">
        <f t="shared" si="23"/>
        <v>166284.06799388447</v>
      </c>
      <c r="M13" s="73">
        <f t="shared" si="24"/>
        <v>0.26813434007591647</v>
      </c>
      <c r="N13" s="30" t="s">
        <v>8</v>
      </c>
      <c r="O13" s="33">
        <f t="shared" si="25"/>
        <v>0.15784940485594851</v>
      </c>
      <c r="P13" s="34">
        <f t="shared" si="143"/>
        <v>353977.93507573247</v>
      </c>
      <c r="Q13" s="80">
        <f t="shared" si="26"/>
        <v>353977.93507573247</v>
      </c>
      <c r="R13" s="160" t="s">
        <v>8</v>
      </c>
      <c r="S13" s="30" t="s">
        <v>8</v>
      </c>
      <c r="T13" s="35">
        <f t="shared" si="27"/>
        <v>0.6630581260178342</v>
      </c>
      <c r="U13" s="33">
        <f t="shared" si="28"/>
        <v>-5.3278695050194558E-2</v>
      </c>
      <c r="V13" s="53">
        <f t="shared" si="29"/>
        <v>0</v>
      </c>
      <c r="W13" s="80">
        <f t="shared" si="30"/>
        <v>0</v>
      </c>
      <c r="X13" s="76" t="s">
        <v>8</v>
      </c>
      <c r="Y13" s="30" t="s">
        <v>8</v>
      </c>
      <c r="Z13" s="35">
        <f t="shared" si="31"/>
        <v>0.6630581260178342</v>
      </c>
      <c r="AA13" s="33">
        <f t="shared" si="32"/>
        <v>8.4510594870176092E-2</v>
      </c>
      <c r="AB13" s="53">
        <f t="shared" si="33"/>
        <v>272034.64229570935</v>
      </c>
      <c r="AC13" s="80">
        <f t="shared" si="34"/>
        <v>177264.42103157422</v>
      </c>
      <c r="AD13" s="76" t="s">
        <v>8</v>
      </c>
      <c r="AE13" s="30" t="s">
        <v>8</v>
      </c>
      <c r="AF13" s="35">
        <f t="shared" si="35"/>
        <v>0.86082733513990506</v>
      </c>
      <c r="AG13" s="33">
        <f t="shared" si="36"/>
        <v>-1.9805918091184926E-2</v>
      </c>
      <c r="AH13" s="53">
        <f t="shared" si="37"/>
        <v>0</v>
      </c>
      <c r="AI13" s="80">
        <f t="shared" si="38"/>
        <v>0</v>
      </c>
      <c r="AJ13" s="76" t="s">
        <v>8</v>
      </c>
      <c r="AK13" s="30" t="s">
        <v>8</v>
      </c>
      <c r="AL13" s="35">
        <f t="shared" si="39"/>
        <v>0.86082733513990506</v>
      </c>
      <c r="AM13" s="33">
        <f t="shared" si="40"/>
        <v>-1.9805918091184926E-2</v>
      </c>
      <c r="AN13" s="53">
        <f t="shared" si="41"/>
        <v>0</v>
      </c>
      <c r="AO13" s="80">
        <f t="shared" si="42"/>
        <v>0</v>
      </c>
      <c r="AP13" s="76" t="s">
        <v>8</v>
      </c>
      <c r="AQ13" s="30" t="s">
        <v>8</v>
      </c>
      <c r="AR13" s="35">
        <f t="shared" si="43"/>
        <v>0.86082733513990506</v>
      </c>
      <c r="AS13" s="33">
        <f t="shared" si="44"/>
        <v>-1.9805918091184926E-2</v>
      </c>
      <c r="AT13" s="53">
        <f t="shared" si="45"/>
        <v>0</v>
      </c>
      <c r="AU13" s="80">
        <f t="shared" si="46"/>
        <v>0</v>
      </c>
      <c r="AV13" s="76" t="s">
        <v>8</v>
      </c>
      <c r="AW13" s="30" t="s">
        <v>8</v>
      </c>
      <c r="AX13" s="35">
        <f t="shared" si="47"/>
        <v>0.86082733513990506</v>
      </c>
      <c r="AY13" s="33">
        <f t="shared" si="48"/>
        <v>-1.9805918091184926E-2</v>
      </c>
      <c r="AZ13" s="53">
        <f t="shared" si="49"/>
        <v>0</v>
      </c>
      <c r="BA13" s="80">
        <f t="shared" si="50"/>
        <v>0</v>
      </c>
      <c r="BB13" s="76" t="s">
        <v>8</v>
      </c>
      <c r="BC13" s="30" t="s">
        <v>8</v>
      </c>
      <c r="BD13" s="35">
        <f t="shared" si="51"/>
        <v>0.86082733513990506</v>
      </c>
      <c r="BE13" s="33">
        <f t="shared" si="52"/>
        <v>-1.9805918091184926E-2</v>
      </c>
      <c r="BF13" s="53">
        <f t="shared" si="53"/>
        <v>0</v>
      </c>
      <c r="BG13" s="80">
        <f t="shared" si="54"/>
        <v>0</v>
      </c>
      <c r="BH13" s="76" t="s">
        <v>8</v>
      </c>
      <c r="BI13" s="30" t="s">
        <v>8</v>
      </c>
      <c r="BJ13" s="35">
        <f t="shared" si="55"/>
        <v>0.86082733513990506</v>
      </c>
      <c r="BK13" s="33">
        <f t="shared" si="56"/>
        <v>-1.9805918091184926E-2</v>
      </c>
      <c r="BL13" s="53">
        <f t="shared" si="57"/>
        <v>0</v>
      </c>
      <c r="BM13" s="80">
        <f t="shared" si="58"/>
        <v>0</v>
      </c>
      <c r="BN13" s="76" t="s">
        <v>8</v>
      </c>
      <c r="BO13" s="30" t="s">
        <v>8</v>
      </c>
      <c r="BP13" s="35">
        <f t="shared" si="59"/>
        <v>0.86082733513990506</v>
      </c>
      <c r="BQ13" s="33">
        <f t="shared" si="60"/>
        <v>-1.9805918091184926E-2</v>
      </c>
      <c r="BR13" s="53">
        <f t="shared" si="61"/>
        <v>0</v>
      </c>
      <c r="BS13" s="132">
        <f t="shared" si="62"/>
        <v>0</v>
      </c>
      <c r="BT13" s="76" t="s">
        <v>8</v>
      </c>
      <c r="BU13" s="30" t="s">
        <v>8</v>
      </c>
      <c r="BV13" s="35">
        <f t="shared" si="63"/>
        <v>0.86082733513990506</v>
      </c>
      <c r="BW13" s="33">
        <f t="shared" si="64"/>
        <v>-1.9805918091184926E-2</v>
      </c>
      <c r="BX13" s="53">
        <f t="shared" si="65"/>
        <v>0</v>
      </c>
      <c r="BY13" s="132">
        <f t="shared" si="66"/>
        <v>0</v>
      </c>
      <c r="BZ13" s="76" t="s">
        <v>8</v>
      </c>
      <c r="CA13" s="30" t="s">
        <v>8</v>
      </c>
      <c r="CB13" s="35">
        <f t="shared" si="67"/>
        <v>0.86082733513990506</v>
      </c>
      <c r="CC13" s="33">
        <f t="shared" si="68"/>
        <v>-1.9805918091184926E-2</v>
      </c>
      <c r="CD13" s="53">
        <f t="shared" si="69"/>
        <v>0</v>
      </c>
      <c r="CE13" s="132">
        <f t="shared" si="70"/>
        <v>0</v>
      </c>
      <c r="CF13" s="76" t="s">
        <v>8</v>
      </c>
      <c r="CG13" s="30" t="s">
        <v>8</v>
      </c>
      <c r="CH13" s="35">
        <f t="shared" si="71"/>
        <v>0.86082733513990506</v>
      </c>
      <c r="CI13" s="33">
        <f t="shared" si="72"/>
        <v>-1.9805918091184926E-2</v>
      </c>
      <c r="CJ13" s="53">
        <f t="shared" si="73"/>
        <v>0</v>
      </c>
      <c r="CK13" s="132">
        <f t="shared" si="74"/>
        <v>0</v>
      </c>
      <c r="CL13" s="76" t="s">
        <v>8</v>
      </c>
      <c r="CM13" s="30" t="s">
        <v>8</v>
      </c>
      <c r="CN13" s="35">
        <f t="shared" si="75"/>
        <v>0.86082733513990506</v>
      </c>
      <c r="CO13" s="33">
        <f t="shared" si="76"/>
        <v>-1.9805918091184926E-2</v>
      </c>
      <c r="CP13" s="53">
        <f t="shared" si="77"/>
        <v>0</v>
      </c>
      <c r="CQ13" s="132">
        <f t="shared" si="78"/>
        <v>0</v>
      </c>
      <c r="CR13" s="76" t="s">
        <v>8</v>
      </c>
      <c r="CS13" s="30" t="s">
        <v>8</v>
      </c>
      <c r="CT13" s="35">
        <f t="shared" si="79"/>
        <v>0.86082733513990506</v>
      </c>
      <c r="CU13" s="33">
        <f t="shared" si="80"/>
        <v>-1.9805918091184926E-2</v>
      </c>
      <c r="CV13" s="53">
        <f t="shared" si="81"/>
        <v>0</v>
      </c>
      <c r="CW13" s="132">
        <f t="shared" si="82"/>
        <v>0</v>
      </c>
      <c r="CX13" s="76" t="s">
        <v>8</v>
      </c>
      <c r="CY13" s="30" t="s">
        <v>8</v>
      </c>
      <c r="CZ13" s="35">
        <f t="shared" si="83"/>
        <v>0.86082733513990506</v>
      </c>
      <c r="DA13" s="33">
        <f t="shared" si="84"/>
        <v>-1.9805918091184926E-2</v>
      </c>
      <c r="DB13" s="53">
        <f t="shared" si="85"/>
        <v>0</v>
      </c>
      <c r="DC13" s="132">
        <f t="shared" si="86"/>
        <v>0</v>
      </c>
      <c r="DD13" s="76" t="s">
        <v>8</v>
      </c>
      <c r="DE13" s="30" t="s">
        <v>8</v>
      </c>
      <c r="DF13" s="35">
        <f t="shared" si="87"/>
        <v>0.86082733513990506</v>
      </c>
      <c r="DG13" s="33">
        <f t="shared" si="88"/>
        <v>-1.9805918091184926E-2</v>
      </c>
      <c r="DH13" s="53">
        <f t="shared" si="89"/>
        <v>0</v>
      </c>
      <c r="DI13" s="132">
        <f t="shared" si="90"/>
        <v>0</v>
      </c>
      <c r="DJ13" s="76" t="s">
        <v>8</v>
      </c>
      <c r="DK13" s="30" t="s">
        <v>8</v>
      </c>
      <c r="DL13" s="35">
        <f t="shared" si="91"/>
        <v>0.86082733513990506</v>
      </c>
      <c r="DM13" s="51">
        <f t="shared" si="92"/>
        <v>-1.9805918091184926E-2</v>
      </c>
      <c r="DN13" s="53">
        <f t="shared" si="93"/>
        <v>0</v>
      </c>
      <c r="DO13" s="132">
        <f t="shared" si="94"/>
        <v>0</v>
      </c>
      <c r="DP13" s="76" t="s">
        <v>8</v>
      </c>
      <c r="DQ13" s="30" t="s">
        <v>8</v>
      </c>
      <c r="DR13" s="35">
        <f t="shared" si="95"/>
        <v>0.86082733513990506</v>
      </c>
      <c r="DS13" s="51">
        <f t="shared" si="96"/>
        <v>-1.9805918091184926E-2</v>
      </c>
      <c r="DT13" s="53">
        <f t="shared" si="144"/>
        <v>0</v>
      </c>
      <c r="DU13" s="132">
        <f t="shared" si="97"/>
        <v>0</v>
      </c>
      <c r="DV13" s="76" t="s">
        <v>8</v>
      </c>
      <c r="DW13" s="30" t="s">
        <v>8</v>
      </c>
      <c r="DX13" s="35">
        <f t="shared" si="98"/>
        <v>0.86082733513990506</v>
      </c>
      <c r="DY13" s="33">
        <f t="shared" si="99"/>
        <v>-1.9805918091184926E-2</v>
      </c>
      <c r="DZ13" s="34">
        <f t="shared" si="100"/>
        <v>0</v>
      </c>
      <c r="EA13" s="80">
        <f t="shared" si="101"/>
        <v>0</v>
      </c>
      <c r="EB13" s="76" t="s">
        <v>8</v>
      </c>
      <c r="EC13" s="30" t="s">
        <v>8</v>
      </c>
      <c r="ED13" s="35">
        <f t="shared" si="102"/>
        <v>0.86082733513990506</v>
      </c>
      <c r="EE13" s="33">
        <f t="shared" si="103"/>
        <v>-1.9805918091184926E-2</v>
      </c>
      <c r="EF13" s="34">
        <f t="shared" si="104"/>
        <v>0</v>
      </c>
      <c r="EG13" s="80">
        <f t="shared" si="105"/>
        <v>0</v>
      </c>
      <c r="EH13" s="76" t="s">
        <v>8</v>
      </c>
      <c r="EI13" s="30" t="s">
        <v>8</v>
      </c>
      <c r="EJ13" s="35">
        <f t="shared" si="106"/>
        <v>0.86082733513990506</v>
      </c>
      <c r="EK13" s="33">
        <f t="shared" si="107"/>
        <v>-1.9805918091184926E-2</v>
      </c>
      <c r="EL13" s="34">
        <f t="shared" si="108"/>
        <v>0</v>
      </c>
      <c r="EM13" s="80">
        <f t="shared" si="109"/>
        <v>0</v>
      </c>
      <c r="EN13" s="76" t="s">
        <v>8</v>
      </c>
      <c r="EO13" s="30" t="s">
        <v>8</v>
      </c>
      <c r="EP13" s="35">
        <f t="shared" si="110"/>
        <v>0.86082733513990506</v>
      </c>
      <c r="EQ13" s="51">
        <f t="shared" si="111"/>
        <v>-1.9805918091184926E-2</v>
      </c>
      <c r="ER13" s="34">
        <f t="shared" si="112"/>
        <v>0</v>
      </c>
      <c r="ES13" s="80">
        <f t="shared" si="113"/>
        <v>0</v>
      </c>
      <c r="ET13" s="76" t="s">
        <v>8</v>
      </c>
      <c r="EU13" s="30" t="s">
        <v>8</v>
      </c>
      <c r="EV13" s="35">
        <f t="shared" si="114"/>
        <v>0.86082733513990506</v>
      </c>
      <c r="EW13" s="33">
        <f t="shared" si="115"/>
        <v>-1.9805918091184926E-2</v>
      </c>
      <c r="EX13" s="34">
        <f t="shared" si="116"/>
        <v>0</v>
      </c>
      <c r="EY13" s="80">
        <f t="shared" si="117"/>
        <v>0</v>
      </c>
      <c r="EZ13" s="76" t="s">
        <v>8</v>
      </c>
      <c r="FA13" s="30" t="s">
        <v>8</v>
      </c>
      <c r="FB13" s="35">
        <f t="shared" si="118"/>
        <v>0.86082733513990506</v>
      </c>
      <c r="FC13" s="33">
        <f t="shared" si="119"/>
        <v>-1.9805918091184926E-2</v>
      </c>
      <c r="FD13" s="34">
        <f t="shared" si="120"/>
        <v>0</v>
      </c>
      <c r="FE13" s="80">
        <f t="shared" si="121"/>
        <v>0</v>
      </c>
      <c r="FF13" s="76" t="s">
        <v>8</v>
      </c>
      <c r="FG13" s="30" t="s">
        <v>8</v>
      </c>
      <c r="FH13" s="35">
        <f t="shared" si="122"/>
        <v>0.86082733513990506</v>
      </c>
      <c r="FI13" s="33">
        <f t="shared" si="123"/>
        <v>-1.9805918091184926E-2</v>
      </c>
      <c r="FJ13" s="34">
        <f t="shared" si="124"/>
        <v>0</v>
      </c>
      <c r="FK13" s="80">
        <f t="shared" si="125"/>
        <v>0</v>
      </c>
      <c r="FL13" s="76" t="s">
        <v>8</v>
      </c>
      <c r="FM13" s="30" t="s">
        <v>8</v>
      </c>
      <c r="FN13" s="35">
        <f t="shared" si="126"/>
        <v>0.86082733513990506</v>
      </c>
      <c r="FO13" s="33">
        <f t="shared" si="127"/>
        <v>-1.9805918091184926E-2</v>
      </c>
      <c r="FP13" s="34">
        <f t="shared" si="128"/>
        <v>0</v>
      </c>
      <c r="FQ13" s="80">
        <f t="shared" si="129"/>
        <v>0</v>
      </c>
      <c r="FR13" s="76" t="s">
        <v>8</v>
      </c>
      <c r="FS13" s="30" t="s">
        <v>8</v>
      </c>
      <c r="FT13" s="35">
        <f t="shared" si="130"/>
        <v>0.86082733513990506</v>
      </c>
      <c r="FU13" s="33">
        <f t="shared" si="131"/>
        <v>-1.9805918091184926E-2</v>
      </c>
      <c r="FV13" s="34">
        <f t="shared" si="132"/>
        <v>0</v>
      </c>
      <c r="FW13" s="80">
        <f t="shared" si="133"/>
        <v>0</v>
      </c>
      <c r="FX13" s="76" t="s">
        <v>8</v>
      </c>
      <c r="FY13" s="30" t="s">
        <v>8</v>
      </c>
      <c r="FZ13" s="35">
        <f t="shared" si="134"/>
        <v>0.86082733513990506</v>
      </c>
      <c r="GA13" s="33">
        <f t="shared" si="135"/>
        <v>-1.9805918091184926E-2</v>
      </c>
      <c r="GB13" s="34">
        <f t="shared" si="136"/>
        <v>0</v>
      </c>
      <c r="GC13" s="80">
        <f t="shared" si="137"/>
        <v>0</v>
      </c>
      <c r="GD13" s="76" t="s">
        <v>8</v>
      </c>
      <c r="GE13" s="30" t="s">
        <v>8</v>
      </c>
      <c r="GF13" s="35">
        <f t="shared" si="138"/>
        <v>0.86082733513990506</v>
      </c>
      <c r="GG13" s="33">
        <f t="shared" si="139"/>
        <v>-1.9805918091184926E-2</v>
      </c>
      <c r="GH13" s="34">
        <f t="shared" si="140"/>
        <v>0</v>
      </c>
      <c r="GI13" s="132">
        <f t="shared" si="141"/>
        <v>0</v>
      </c>
      <c r="GJ13" s="223">
        <f t="shared" si="145"/>
        <v>531242.35610730667</v>
      </c>
      <c r="GK13" s="104">
        <f t="shared" si="146"/>
        <v>697526.42410119111</v>
      </c>
      <c r="GL13" s="86">
        <f t="shared" si="142"/>
        <v>0.86082733513990506</v>
      </c>
      <c r="GN13" s="214">
        <v>697526.43</v>
      </c>
    </row>
    <row r="14" spans="1:196" s="25" customFormat="1" x14ac:dyDescent="0.25">
      <c r="A14" s="184" t="s">
        <v>178</v>
      </c>
      <c r="B14" s="155" t="s">
        <v>8</v>
      </c>
      <c r="C14" s="155" t="s">
        <v>8</v>
      </c>
      <c r="D14" s="155" t="s">
        <v>8</v>
      </c>
      <c r="E14" s="155" t="s">
        <v>8</v>
      </c>
      <c r="F14" s="155" t="s">
        <v>8</v>
      </c>
      <c r="G14" s="113">
        <f>'Исходные данные 25 г.'!C16</f>
        <v>98</v>
      </c>
      <c r="H14" s="49">
        <f>'Исходные данные 2027г. '!D16</f>
        <v>57310</v>
      </c>
      <c r="I14" s="32">
        <f>'Расчет КРП'!H12</f>
        <v>7.2978341638888917</v>
      </c>
      <c r="J14" s="120" t="s">
        <v>8</v>
      </c>
      <c r="K14" s="124">
        <f t="shared" si="22"/>
        <v>0.12376489820949256</v>
      </c>
      <c r="L14" s="77">
        <f t="shared" si="23"/>
        <v>95297.302125150163</v>
      </c>
      <c r="M14" s="73">
        <f t="shared" si="24"/>
        <v>0.32956599569960715</v>
      </c>
      <c r="N14" s="30" t="s">
        <v>8</v>
      </c>
      <c r="O14" s="33">
        <f t="shared" si="25"/>
        <v>9.6417749232257821E-2</v>
      </c>
      <c r="P14" s="34">
        <f t="shared" si="143"/>
        <v>111701.82057607615</v>
      </c>
      <c r="Q14" s="80">
        <f t="shared" si="26"/>
        <v>111701.82057607615</v>
      </c>
      <c r="R14" s="160" t="s">
        <v>8</v>
      </c>
      <c r="S14" s="30" t="s">
        <v>8</v>
      </c>
      <c r="T14" s="35">
        <f t="shared" si="27"/>
        <v>0.57079378235835909</v>
      </c>
      <c r="U14" s="33">
        <f t="shared" si="28"/>
        <v>3.8985648609280554E-2</v>
      </c>
      <c r="V14" s="53">
        <f t="shared" si="29"/>
        <v>55020.65234387949</v>
      </c>
      <c r="W14" s="80">
        <f t="shared" si="30"/>
        <v>55020.65234387949</v>
      </c>
      <c r="X14" s="76" t="s">
        <v>8</v>
      </c>
      <c r="Y14" s="30" t="s">
        <v>8</v>
      </c>
      <c r="Z14" s="35">
        <f t="shared" si="31"/>
        <v>0.68961467638662854</v>
      </c>
      <c r="AA14" s="33">
        <f t="shared" si="32"/>
        <v>5.7954044501381752E-2</v>
      </c>
      <c r="AB14" s="53">
        <f t="shared" si="33"/>
        <v>96375.539855287119</v>
      </c>
      <c r="AC14" s="80">
        <f t="shared" si="34"/>
        <v>62800.657040885744</v>
      </c>
      <c r="AD14" s="76" t="s">
        <v>8</v>
      </c>
      <c r="AE14" s="30" t="s">
        <v>8</v>
      </c>
      <c r="AF14" s="35">
        <f t="shared" si="35"/>
        <v>0.82523702721814973</v>
      </c>
      <c r="AG14" s="33">
        <f t="shared" si="36"/>
        <v>1.57843898305704E-2</v>
      </c>
      <c r="AH14" s="53">
        <f t="shared" si="37"/>
        <v>28021.260387131701</v>
      </c>
      <c r="AI14" s="80">
        <f t="shared" si="38"/>
        <v>0</v>
      </c>
      <c r="AJ14" s="76" t="s">
        <v>8</v>
      </c>
      <c r="AK14" s="30" t="s">
        <v>8</v>
      </c>
      <c r="AL14" s="35">
        <f t="shared" si="39"/>
        <v>0.82523702721814973</v>
      </c>
      <c r="AM14" s="33">
        <f t="shared" si="40"/>
        <v>1.57843898305704E-2</v>
      </c>
      <c r="AN14" s="53">
        <f t="shared" si="41"/>
        <v>28021.260387131701</v>
      </c>
      <c r="AO14" s="80">
        <f t="shared" si="42"/>
        <v>0</v>
      </c>
      <c r="AP14" s="76" t="s">
        <v>8</v>
      </c>
      <c r="AQ14" s="30" t="s">
        <v>8</v>
      </c>
      <c r="AR14" s="35">
        <f t="shared" si="43"/>
        <v>0.82523702721814973</v>
      </c>
      <c r="AS14" s="33">
        <f t="shared" si="44"/>
        <v>1.57843898305704E-2</v>
      </c>
      <c r="AT14" s="53">
        <f t="shared" si="45"/>
        <v>28021.260387131701</v>
      </c>
      <c r="AU14" s="80">
        <f t="shared" si="46"/>
        <v>0</v>
      </c>
      <c r="AV14" s="76" t="s">
        <v>8</v>
      </c>
      <c r="AW14" s="30" t="s">
        <v>8</v>
      </c>
      <c r="AX14" s="35">
        <f t="shared" si="47"/>
        <v>0.82523702721814973</v>
      </c>
      <c r="AY14" s="33">
        <f t="shared" si="48"/>
        <v>1.57843898305704E-2</v>
      </c>
      <c r="AZ14" s="53">
        <f t="shared" si="49"/>
        <v>28021.260387131701</v>
      </c>
      <c r="BA14" s="80">
        <f t="shared" si="50"/>
        <v>0</v>
      </c>
      <c r="BB14" s="76" t="s">
        <v>8</v>
      </c>
      <c r="BC14" s="30" t="s">
        <v>8</v>
      </c>
      <c r="BD14" s="35">
        <f t="shared" si="51"/>
        <v>0.82523702721814973</v>
      </c>
      <c r="BE14" s="33">
        <f t="shared" si="52"/>
        <v>1.57843898305704E-2</v>
      </c>
      <c r="BF14" s="53">
        <f t="shared" si="53"/>
        <v>28021.260387131701</v>
      </c>
      <c r="BG14" s="80">
        <f t="shared" si="54"/>
        <v>0</v>
      </c>
      <c r="BH14" s="76" t="s">
        <v>8</v>
      </c>
      <c r="BI14" s="30" t="s">
        <v>8</v>
      </c>
      <c r="BJ14" s="35">
        <f t="shared" si="55"/>
        <v>0.82523702721814973</v>
      </c>
      <c r="BK14" s="33">
        <f t="shared" si="56"/>
        <v>1.57843898305704E-2</v>
      </c>
      <c r="BL14" s="53">
        <f t="shared" si="57"/>
        <v>28021.260387131701</v>
      </c>
      <c r="BM14" s="80">
        <f t="shared" si="58"/>
        <v>0</v>
      </c>
      <c r="BN14" s="76" t="s">
        <v>8</v>
      </c>
      <c r="BO14" s="30" t="s">
        <v>8</v>
      </c>
      <c r="BP14" s="35">
        <f t="shared" si="59"/>
        <v>0.82523702721814973</v>
      </c>
      <c r="BQ14" s="33">
        <f t="shared" si="60"/>
        <v>1.57843898305704E-2</v>
      </c>
      <c r="BR14" s="53">
        <f t="shared" si="61"/>
        <v>28021.260387131701</v>
      </c>
      <c r="BS14" s="132">
        <f t="shared" si="62"/>
        <v>0</v>
      </c>
      <c r="BT14" s="76" t="s">
        <v>8</v>
      </c>
      <c r="BU14" s="30" t="s">
        <v>8</v>
      </c>
      <c r="BV14" s="35">
        <f t="shared" si="63"/>
        <v>0.82523702721814973</v>
      </c>
      <c r="BW14" s="33">
        <f t="shared" si="64"/>
        <v>1.57843898305704E-2</v>
      </c>
      <c r="BX14" s="53">
        <f t="shared" si="65"/>
        <v>28021.260387131701</v>
      </c>
      <c r="BY14" s="132">
        <f t="shared" si="66"/>
        <v>0</v>
      </c>
      <c r="BZ14" s="76" t="s">
        <v>8</v>
      </c>
      <c r="CA14" s="30" t="s">
        <v>8</v>
      </c>
      <c r="CB14" s="35">
        <f t="shared" si="67"/>
        <v>0.82523702721814973</v>
      </c>
      <c r="CC14" s="33">
        <f t="shared" si="68"/>
        <v>1.57843898305704E-2</v>
      </c>
      <c r="CD14" s="53">
        <f t="shared" si="69"/>
        <v>28021.260387131701</v>
      </c>
      <c r="CE14" s="132">
        <f t="shared" si="70"/>
        <v>0</v>
      </c>
      <c r="CF14" s="76" t="s">
        <v>8</v>
      </c>
      <c r="CG14" s="30" t="s">
        <v>8</v>
      </c>
      <c r="CH14" s="35">
        <f t="shared" si="71"/>
        <v>0.82523702721814973</v>
      </c>
      <c r="CI14" s="33">
        <f t="shared" si="72"/>
        <v>1.57843898305704E-2</v>
      </c>
      <c r="CJ14" s="53">
        <f t="shared" si="73"/>
        <v>28021.260387131701</v>
      </c>
      <c r="CK14" s="132">
        <f t="shared" si="74"/>
        <v>0</v>
      </c>
      <c r="CL14" s="76" t="s">
        <v>8</v>
      </c>
      <c r="CM14" s="30" t="s">
        <v>8</v>
      </c>
      <c r="CN14" s="35">
        <f t="shared" si="75"/>
        <v>0.82523702721814973</v>
      </c>
      <c r="CO14" s="33">
        <f t="shared" si="76"/>
        <v>1.57843898305704E-2</v>
      </c>
      <c r="CP14" s="53">
        <f t="shared" si="77"/>
        <v>28021.260387131701</v>
      </c>
      <c r="CQ14" s="132">
        <f t="shared" si="78"/>
        <v>0</v>
      </c>
      <c r="CR14" s="76" t="s">
        <v>8</v>
      </c>
      <c r="CS14" s="30" t="s">
        <v>8</v>
      </c>
      <c r="CT14" s="35">
        <f t="shared" si="79"/>
        <v>0.82523702721814973</v>
      </c>
      <c r="CU14" s="33">
        <f t="shared" si="80"/>
        <v>1.57843898305704E-2</v>
      </c>
      <c r="CV14" s="53">
        <f t="shared" si="81"/>
        <v>28021.260387131701</v>
      </c>
      <c r="CW14" s="132">
        <f t="shared" si="82"/>
        <v>0</v>
      </c>
      <c r="CX14" s="76" t="s">
        <v>8</v>
      </c>
      <c r="CY14" s="30" t="s">
        <v>8</v>
      </c>
      <c r="CZ14" s="35">
        <f t="shared" si="83"/>
        <v>0.82523702721814973</v>
      </c>
      <c r="DA14" s="33">
        <f t="shared" si="84"/>
        <v>1.57843898305704E-2</v>
      </c>
      <c r="DB14" s="53">
        <f t="shared" si="85"/>
        <v>28021.260387131701</v>
      </c>
      <c r="DC14" s="132">
        <f t="shared" si="86"/>
        <v>0</v>
      </c>
      <c r="DD14" s="76" t="s">
        <v>8</v>
      </c>
      <c r="DE14" s="30" t="s">
        <v>8</v>
      </c>
      <c r="DF14" s="35">
        <f t="shared" si="87"/>
        <v>0.82523702721814973</v>
      </c>
      <c r="DG14" s="33">
        <f t="shared" si="88"/>
        <v>1.57843898305704E-2</v>
      </c>
      <c r="DH14" s="53">
        <f t="shared" si="89"/>
        <v>28021.260387131701</v>
      </c>
      <c r="DI14" s="132">
        <f t="shared" si="90"/>
        <v>0</v>
      </c>
      <c r="DJ14" s="76" t="s">
        <v>8</v>
      </c>
      <c r="DK14" s="30" t="s">
        <v>8</v>
      </c>
      <c r="DL14" s="35">
        <f t="shared" si="91"/>
        <v>0.82523702721814973</v>
      </c>
      <c r="DM14" s="51">
        <f t="shared" si="92"/>
        <v>1.57843898305704E-2</v>
      </c>
      <c r="DN14" s="53">
        <f t="shared" si="93"/>
        <v>28021.260387131701</v>
      </c>
      <c r="DO14" s="132">
        <f t="shared" si="94"/>
        <v>0</v>
      </c>
      <c r="DP14" s="76" t="s">
        <v>8</v>
      </c>
      <c r="DQ14" s="30" t="s">
        <v>8</v>
      </c>
      <c r="DR14" s="35">
        <f t="shared" si="95"/>
        <v>0.82523702721814973</v>
      </c>
      <c r="DS14" s="51">
        <f t="shared" si="96"/>
        <v>1.57843898305704E-2</v>
      </c>
      <c r="DT14" s="53">
        <f t="shared" si="144"/>
        <v>28021.260387131701</v>
      </c>
      <c r="DU14" s="132">
        <f t="shared" si="97"/>
        <v>0</v>
      </c>
      <c r="DV14" s="76" t="s">
        <v>8</v>
      </c>
      <c r="DW14" s="30" t="s">
        <v>8</v>
      </c>
      <c r="DX14" s="35">
        <f t="shared" si="98"/>
        <v>0.82523702721814973</v>
      </c>
      <c r="DY14" s="33">
        <f t="shared" si="99"/>
        <v>1.57843898305704E-2</v>
      </c>
      <c r="DZ14" s="34">
        <f t="shared" si="100"/>
        <v>28021.260387131701</v>
      </c>
      <c r="EA14" s="80">
        <f t="shared" si="101"/>
        <v>0</v>
      </c>
      <c r="EB14" s="76" t="s">
        <v>8</v>
      </c>
      <c r="EC14" s="30" t="s">
        <v>8</v>
      </c>
      <c r="ED14" s="35">
        <f t="shared" si="102"/>
        <v>0.82523702721814973</v>
      </c>
      <c r="EE14" s="33">
        <f t="shared" si="103"/>
        <v>1.57843898305704E-2</v>
      </c>
      <c r="EF14" s="34">
        <f t="shared" si="104"/>
        <v>28021.260387131701</v>
      </c>
      <c r="EG14" s="80">
        <f t="shared" si="105"/>
        <v>0</v>
      </c>
      <c r="EH14" s="76" t="s">
        <v>8</v>
      </c>
      <c r="EI14" s="30" t="s">
        <v>8</v>
      </c>
      <c r="EJ14" s="35">
        <f t="shared" si="106"/>
        <v>0.82523702721814973</v>
      </c>
      <c r="EK14" s="33">
        <f t="shared" si="107"/>
        <v>1.57843898305704E-2</v>
      </c>
      <c r="EL14" s="34">
        <f t="shared" si="108"/>
        <v>28021.260387131701</v>
      </c>
      <c r="EM14" s="80">
        <f t="shared" si="109"/>
        <v>0</v>
      </c>
      <c r="EN14" s="76" t="s">
        <v>8</v>
      </c>
      <c r="EO14" s="30" t="s">
        <v>8</v>
      </c>
      <c r="EP14" s="35">
        <f t="shared" si="110"/>
        <v>0.82523702721814973</v>
      </c>
      <c r="EQ14" s="51">
        <f t="shared" si="111"/>
        <v>1.57843898305704E-2</v>
      </c>
      <c r="ER14" s="34">
        <f t="shared" si="112"/>
        <v>28021.260387131701</v>
      </c>
      <c r="ES14" s="80">
        <f t="shared" si="113"/>
        <v>0</v>
      </c>
      <c r="ET14" s="76" t="s">
        <v>8</v>
      </c>
      <c r="EU14" s="30" t="s">
        <v>8</v>
      </c>
      <c r="EV14" s="35">
        <f t="shared" si="114"/>
        <v>0.82523702721814973</v>
      </c>
      <c r="EW14" s="33">
        <f t="shared" si="115"/>
        <v>1.57843898305704E-2</v>
      </c>
      <c r="EX14" s="34">
        <f t="shared" si="116"/>
        <v>28021.260387131701</v>
      </c>
      <c r="EY14" s="80">
        <f t="shared" si="117"/>
        <v>0</v>
      </c>
      <c r="EZ14" s="76" t="s">
        <v>8</v>
      </c>
      <c r="FA14" s="30" t="s">
        <v>8</v>
      </c>
      <c r="FB14" s="35">
        <f t="shared" si="118"/>
        <v>0.82523702721814973</v>
      </c>
      <c r="FC14" s="33">
        <f t="shared" si="119"/>
        <v>1.57843898305704E-2</v>
      </c>
      <c r="FD14" s="34">
        <f t="shared" si="120"/>
        <v>28021.260387131701</v>
      </c>
      <c r="FE14" s="80">
        <f t="shared" si="121"/>
        <v>0</v>
      </c>
      <c r="FF14" s="76" t="s">
        <v>8</v>
      </c>
      <c r="FG14" s="30" t="s">
        <v>8</v>
      </c>
      <c r="FH14" s="35">
        <f t="shared" si="122"/>
        <v>0.82523702721814973</v>
      </c>
      <c r="FI14" s="33">
        <f t="shared" si="123"/>
        <v>1.57843898305704E-2</v>
      </c>
      <c r="FJ14" s="34">
        <f t="shared" si="124"/>
        <v>28021.260387131701</v>
      </c>
      <c r="FK14" s="80">
        <f t="shared" si="125"/>
        <v>0</v>
      </c>
      <c r="FL14" s="76" t="s">
        <v>8</v>
      </c>
      <c r="FM14" s="30" t="s">
        <v>8</v>
      </c>
      <c r="FN14" s="35">
        <f t="shared" si="126"/>
        <v>0.82523702721814973</v>
      </c>
      <c r="FO14" s="33">
        <f t="shared" si="127"/>
        <v>1.57843898305704E-2</v>
      </c>
      <c r="FP14" s="34">
        <f t="shared" si="128"/>
        <v>28021.260387131701</v>
      </c>
      <c r="FQ14" s="80">
        <f t="shared" si="129"/>
        <v>0</v>
      </c>
      <c r="FR14" s="76" t="s">
        <v>8</v>
      </c>
      <c r="FS14" s="30" t="s">
        <v>8</v>
      </c>
      <c r="FT14" s="35">
        <f t="shared" si="130"/>
        <v>0.82523702721814973</v>
      </c>
      <c r="FU14" s="33">
        <f t="shared" si="131"/>
        <v>1.57843898305704E-2</v>
      </c>
      <c r="FV14" s="34">
        <f t="shared" si="132"/>
        <v>28021.260387131701</v>
      </c>
      <c r="FW14" s="80">
        <f t="shared" si="133"/>
        <v>0</v>
      </c>
      <c r="FX14" s="76" t="s">
        <v>8</v>
      </c>
      <c r="FY14" s="30" t="s">
        <v>8</v>
      </c>
      <c r="FZ14" s="35">
        <f t="shared" si="134"/>
        <v>0.82523702721814973</v>
      </c>
      <c r="GA14" s="33">
        <f t="shared" si="135"/>
        <v>1.57843898305704E-2</v>
      </c>
      <c r="GB14" s="34">
        <f t="shared" si="136"/>
        <v>28021.260387131701</v>
      </c>
      <c r="GC14" s="80">
        <f t="shared" si="137"/>
        <v>0</v>
      </c>
      <c r="GD14" s="76" t="s">
        <v>8</v>
      </c>
      <c r="GE14" s="30" t="s">
        <v>8</v>
      </c>
      <c r="GF14" s="35">
        <f t="shared" si="138"/>
        <v>0.82523702721814973</v>
      </c>
      <c r="GG14" s="33">
        <f t="shared" si="139"/>
        <v>1.57843898305704E-2</v>
      </c>
      <c r="GH14" s="34">
        <f t="shared" si="140"/>
        <v>28021.260387131701</v>
      </c>
      <c r="GI14" s="132">
        <f t="shared" si="141"/>
        <v>0</v>
      </c>
      <c r="GJ14" s="223">
        <f t="shared" si="145"/>
        <v>229523.12996084138</v>
      </c>
      <c r="GK14" s="104">
        <f t="shared" si="146"/>
        <v>324820.43208599155</v>
      </c>
      <c r="GL14" s="86">
        <f t="shared" si="142"/>
        <v>0.82523702721814951</v>
      </c>
      <c r="GN14" s="214">
        <v>324820.43</v>
      </c>
    </row>
    <row r="15" spans="1:196" s="25" customFormat="1" x14ac:dyDescent="0.25">
      <c r="A15" s="184" t="s">
        <v>179</v>
      </c>
      <c r="B15" s="155" t="s">
        <v>8</v>
      </c>
      <c r="C15" s="155" t="s">
        <v>8</v>
      </c>
      <c r="D15" s="155" t="s">
        <v>8</v>
      </c>
      <c r="E15" s="155" t="s">
        <v>8</v>
      </c>
      <c r="F15" s="155" t="s">
        <v>8</v>
      </c>
      <c r="G15" s="113">
        <f>'Исходные данные 25 г.'!C17</f>
        <v>375</v>
      </c>
      <c r="H15" s="49">
        <f>'Исходные данные 2027г. '!D17</f>
        <v>266970</v>
      </c>
      <c r="I15" s="32">
        <f>'Расчет КРП'!H13</f>
        <v>4.976362696709395</v>
      </c>
      <c r="J15" s="120" t="s">
        <v>8</v>
      </c>
      <c r="K15" s="124">
        <f t="shared" si="22"/>
        <v>0.22095626206254715</v>
      </c>
      <c r="L15" s="77">
        <f t="shared" si="23"/>
        <v>364658.04384623788</v>
      </c>
      <c r="M15" s="73">
        <f t="shared" si="24"/>
        <v>0.52276349995184235</v>
      </c>
      <c r="N15" s="30" t="s">
        <v>8</v>
      </c>
      <c r="O15" s="33">
        <f t="shared" si="25"/>
        <v>-9.6779755019977376E-2</v>
      </c>
      <c r="P15" s="34">
        <f t="shared" si="143"/>
        <v>0</v>
      </c>
      <c r="Q15" s="80">
        <f t="shared" si="26"/>
        <v>0</v>
      </c>
      <c r="R15" s="160" t="s">
        <v>8</v>
      </c>
      <c r="S15" s="30" t="s">
        <v>8</v>
      </c>
      <c r="T15" s="35">
        <f t="shared" si="27"/>
        <v>0.52276349995184235</v>
      </c>
      <c r="U15" s="33">
        <f t="shared" si="28"/>
        <v>8.7015931015797299E-2</v>
      </c>
      <c r="V15" s="53">
        <f t="shared" si="29"/>
        <v>320437.2309575635</v>
      </c>
      <c r="W15" s="80">
        <f t="shared" si="30"/>
        <v>320437.2309575635</v>
      </c>
      <c r="X15" s="76" t="s">
        <v>8</v>
      </c>
      <c r="Y15" s="30" t="s">
        <v>8</v>
      </c>
      <c r="Z15" s="35">
        <f t="shared" si="31"/>
        <v>0.78797162362887097</v>
      </c>
      <c r="AA15" s="33">
        <f t="shared" si="32"/>
        <v>-4.0402902740860669E-2</v>
      </c>
      <c r="AB15" s="53">
        <f t="shared" si="33"/>
        <v>0</v>
      </c>
      <c r="AC15" s="80">
        <f t="shared" si="34"/>
        <v>0</v>
      </c>
      <c r="AD15" s="76" t="s">
        <v>8</v>
      </c>
      <c r="AE15" s="30" t="s">
        <v>8</v>
      </c>
      <c r="AF15" s="35">
        <f t="shared" si="35"/>
        <v>0.78797162362887097</v>
      </c>
      <c r="AG15" s="33">
        <f t="shared" si="36"/>
        <v>5.3049793419849167E-2</v>
      </c>
      <c r="AH15" s="53">
        <f t="shared" si="37"/>
        <v>245734.87267127592</v>
      </c>
      <c r="AI15" s="80">
        <f t="shared" si="38"/>
        <v>0</v>
      </c>
      <c r="AJ15" s="76" t="s">
        <v>8</v>
      </c>
      <c r="AK15" s="30" t="s">
        <v>8</v>
      </c>
      <c r="AL15" s="35">
        <f t="shared" si="39"/>
        <v>0.78797162362887097</v>
      </c>
      <c r="AM15" s="33">
        <f t="shared" si="40"/>
        <v>5.3049793419849167E-2</v>
      </c>
      <c r="AN15" s="53">
        <f t="shared" si="41"/>
        <v>245734.87267127592</v>
      </c>
      <c r="AO15" s="80">
        <f t="shared" si="42"/>
        <v>0</v>
      </c>
      <c r="AP15" s="76" t="s">
        <v>8</v>
      </c>
      <c r="AQ15" s="30" t="s">
        <v>8</v>
      </c>
      <c r="AR15" s="35">
        <f t="shared" si="43"/>
        <v>0.78797162362887097</v>
      </c>
      <c r="AS15" s="33">
        <f t="shared" si="44"/>
        <v>5.3049793419849167E-2</v>
      </c>
      <c r="AT15" s="53">
        <f t="shared" si="45"/>
        <v>245734.87267127592</v>
      </c>
      <c r="AU15" s="80">
        <f t="shared" si="46"/>
        <v>0</v>
      </c>
      <c r="AV15" s="76" t="s">
        <v>8</v>
      </c>
      <c r="AW15" s="30" t="s">
        <v>8</v>
      </c>
      <c r="AX15" s="35">
        <f t="shared" si="47"/>
        <v>0.78797162362887097</v>
      </c>
      <c r="AY15" s="33">
        <f t="shared" si="48"/>
        <v>5.3049793419849167E-2</v>
      </c>
      <c r="AZ15" s="53">
        <f t="shared" si="49"/>
        <v>245734.87267127592</v>
      </c>
      <c r="BA15" s="80">
        <f t="shared" si="50"/>
        <v>0</v>
      </c>
      <c r="BB15" s="76" t="s">
        <v>8</v>
      </c>
      <c r="BC15" s="30" t="s">
        <v>8</v>
      </c>
      <c r="BD15" s="35">
        <f t="shared" si="51"/>
        <v>0.78797162362887097</v>
      </c>
      <c r="BE15" s="33">
        <f t="shared" si="52"/>
        <v>5.3049793419849167E-2</v>
      </c>
      <c r="BF15" s="53">
        <f t="shared" si="53"/>
        <v>245734.87267127592</v>
      </c>
      <c r="BG15" s="80">
        <f t="shared" si="54"/>
        <v>0</v>
      </c>
      <c r="BH15" s="76" t="s">
        <v>8</v>
      </c>
      <c r="BI15" s="30" t="s">
        <v>8</v>
      </c>
      <c r="BJ15" s="35">
        <f t="shared" si="55"/>
        <v>0.78797162362887097</v>
      </c>
      <c r="BK15" s="33">
        <f t="shared" si="56"/>
        <v>5.3049793419849167E-2</v>
      </c>
      <c r="BL15" s="53">
        <f t="shared" si="57"/>
        <v>245734.87267127592</v>
      </c>
      <c r="BM15" s="80">
        <f t="shared" si="58"/>
        <v>0</v>
      </c>
      <c r="BN15" s="76" t="s">
        <v>8</v>
      </c>
      <c r="BO15" s="30" t="s">
        <v>8</v>
      </c>
      <c r="BP15" s="35">
        <f t="shared" si="59"/>
        <v>0.78797162362887097</v>
      </c>
      <c r="BQ15" s="33">
        <f t="shared" si="60"/>
        <v>5.3049793419849167E-2</v>
      </c>
      <c r="BR15" s="53">
        <f t="shared" si="61"/>
        <v>245734.87267127592</v>
      </c>
      <c r="BS15" s="132">
        <f t="shared" si="62"/>
        <v>0</v>
      </c>
      <c r="BT15" s="76" t="s">
        <v>8</v>
      </c>
      <c r="BU15" s="30" t="s">
        <v>8</v>
      </c>
      <c r="BV15" s="35">
        <f t="shared" si="63"/>
        <v>0.78797162362887097</v>
      </c>
      <c r="BW15" s="33">
        <f t="shared" si="64"/>
        <v>5.3049793419849167E-2</v>
      </c>
      <c r="BX15" s="53">
        <f t="shared" si="65"/>
        <v>245734.87267127592</v>
      </c>
      <c r="BY15" s="132">
        <f t="shared" si="66"/>
        <v>0</v>
      </c>
      <c r="BZ15" s="76" t="s">
        <v>8</v>
      </c>
      <c r="CA15" s="30" t="s">
        <v>8</v>
      </c>
      <c r="CB15" s="35">
        <f t="shared" si="67"/>
        <v>0.78797162362887097</v>
      </c>
      <c r="CC15" s="33">
        <f t="shared" si="68"/>
        <v>5.3049793419849167E-2</v>
      </c>
      <c r="CD15" s="53">
        <f t="shared" si="69"/>
        <v>245734.87267127592</v>
      </c>
      <c r="CE15" s="132">
        <f t="shared" si="70"/>
        <v>0</v>
      </c>
      <c r="CF15" s="76" t="s">
        <v>8</v>
      </c>
      <c r="CG15" s="30" t="s">
        <v>8</v>
      </c>
      <c r="CH15" s="35">
        <f t="shared" si="71"/>
        <v>0.78797162362887097</v>
      </c>
      <c r="CI15" s="33">
        <f t="shared" si="72"/>
        <v>5.3049793419849167E-2</v>
      </c>
      <c r="CJ15" s="53">
        <f t="shared" si="73"/>
        <v>245734.87267127592</v>
      </c>
      <c r="CK15" s="132">
        <f t="shared" si="74"/>
        <v>0</v>
      </c>
      <c r="CL15" s="76" t="s">
        <v>8</v>
      </c>
      <c r="CM15" s="30" t="s">
        <v>8</v>
      </c>
      <c r="CN15" s="35">
        <f t="shared" si="75"/>
        <v>0.78797162362887097</v>
      </c>
      <c r="CO15" s="33">
        <f t="shared" si="76"/>
        <v>5.3049793419849167E-2</v>
      </c>
      <c r="CP15" s="53">
        <f t="shared" si="77"/>
        <v>245734.87267127592</v>
      </c>
      <c r="CQ15" s="132">
        <f t="shared" si="78"/>
        <v>0</v>
      </c>
      <c r="CR15" s="76" t="s">
        <v>8</v>
      </c>
      <c r="CS15" s="30" t="s">
        <v>8</v>
      </c>
      <c r="CT15" s="35">
        <f t="shared" si="79"/>
        <v>0.78797162362887097</v>
      </c>
      <c r="CU15" s="33">
        <f t="shared" si="80"/>
        <v>5.3049793419849167E-2</v>
      </c>
      <c r="CV15" s="53">
        <f t="shared" si="81"/>
        <v>245734.87267127592</v>
      </c>
      <c r="CW15" s="132">
        <f t="shared" si="82"/>
        <v>0</v>
      </c>
      <c r="CX15" s="76" t="s">
        <v>8</v>
      </c>
      <c r="CY15" s="30" t="s">
        <v>8</v>
      </c>
      <c r="CZ15" s="35">
        <f t="shared" si="83"/>
        <v>0.78797162362887097</v>
      </c>
      <c r="DA15" s="33">
        <f t="shared" si="84"/>
        <v>5.3049793419849167E-2</v>
      </c>
      <c r="DB15" s="53">
        <f t="shared" si="85"/>
        <v>245734.87267127592</v>
      </c>
      <c r="DC15" s="132">
        <f t="shared" si="86"/>
        <v>0</v>
      </c>
      <c r="DD15" s="76" t="s">
        <v>8</v>
      </c>
      <c r="DE15" s="30" t="s">
        <v>8</v>
      </c>
      <c r="DF15" s="35">
        <f t="shared" si="87"/>
        <v>0.78797162362887097</v>
      </c>
      <c r="DG15" s="33">
        <f t="shared" si="88"/>
        <v>5.3049793419849167E-2</v>
      </c>
      <c r="DH15" s="53">
        <f t="shared" si="89"/>
        <v>245734.87267127592</v>
      </c>
      <c r="DI15" s="132">
        <f t="shared" si="90"/>
        <v>0</v>
      </c>
      <c r="DJ15" s="76" t="s">
        <v>8</v>
      </c>
      <c r="DK15" s="30" t="s">
        <v>8</v>
      </c>
      <c r="DL15" s="35">
        <f t="shared" si="91"/>
        <v>0.78797162362887097</v>
      </c>
      <c r="DM15" s="51">
        <f t="shared" si="92"/>
        <v>5.3049793419849167E-2</v>
      </c>
      <c r="DN15" s="53">
        <f t="shared" si="93"/>
        <v>245734.87267127592</v>
      </c>
      <c r="DO15" s="132">
        <f t="shared" si="94"/>
        <v>0</v>
      </c>
      <c r="DP15" s="76" t="s">
        <v>8</v>
      </c>
      <c r="DQ15" s="30" t="s">
        <v>8</v>
      </c>
      <c r="DR15" s="35">
        <f t="shared" si="95"/>
        <v>0.78797162362887097</v>
      </c>
      <c r="DS15" s="51">
        <f t="shared" si="96"/>
        <v>5.3049793419849167E-2</v>
      </c>
      <c r="DT15" s="53">
        <f t="shared" si="144"/>
        <v>245734.87267127592</v>
      </c>
      <c r="DU15" s="132">
        <f t="shared" si="97"/>
        <v>0</v>
      </c>
      <c r="DV15" s="76" t="s">
        <v>8</v>
      </c>
      <c r="DW15" s="30" t="s">
        <v>8</v>
      </c>
      <c r="DX15" s="35">
        <f t="shared" si="98"/>
        <v>0.78797162362887097</v>
      </c>
      <c r="DY15" s="33">
        <f t="shared" si="99"/>
        <v>5.3049793419849167E-2</v>
      </c>
      <c r="DZ15" s="34">
        <f t="shared" si="100"/>
        <v>245734.87267127592</v>
      </c>
      <c r="EA15" s="80">
        <f t="shared" si="101"/>
        <v>0</v>
      </c>
      <c r="EB15" s="76" t="s">
        <v>8</v>
      </c>
      <c r="EC15" s="30" t="s">
        <v>8</v>
      </c>
      <c r="ED15" s="35">
        <f t="shared" si="102"/>
        <v>0.78797162362887097</v>
      </c>
      <c r="EE15" s="33">
        <f t="shared" si="103"/>
        <v>5.3049793419849167E-2</v>
      </c>
      <c r="EF15" s="34">
        <f t="shared" si="104"/>
        <v>245734.87267127592</v>
      </c>
      <c r="EG15" s="80">
        <f t="shared" si="105"/>
        <v>0</v>
      </c>
      <c r="EH15" s="76" t="s">
        <v>8</v>
      </c>
      <c r="EI15" s="30" t="s">
        <v>8</v>
      </c>
      <c r="EJ15" s="35">
        <f t="shared" si="106"/>
        <v>0.78797162362887097</v>
      </c>
      <c r="EK15" s="33">
        <f t="shared" si="107"/>
        <v>5.3049793419849167E-2</v>
      </c>
      <c r="EL15" s="34">
        <f t="shared" si="108"/>
        <v>245734.87267127592</v>
      </c>
      <c r="EM15" s="80">
        <f t="shared" si="109"/>
        <v>0</v>
      </c>
      <c r="EN15" s="76" t="s">
        <v>8</v>
      </c>
      <c r="EO15" s="30" t="s">
        <v>8</v>
      </c>
      <c r="EP15" s="35">
        <f t="shared" si="110"/>
        <v>0.78797162362887097</v>
      </c>
      <c r="EQ15" s="51">
        <f t="shared" si="111"/>
        <v>5.3049793419849167E-2</v>
      </c>
      <c r="ER15" s="34">
        <f t="shared" si="112"/>
        <v>245734.87267127592</v>
      </c>
      <c r="ES15" s="80">
        <f t="shared" si="113"/>
        <v>0</v>
      </c>
      <c r="ET15" s="76" t="s">
        <v>8</v>
      </c>
      <c r="EU15" s="30" t="s">
        <v>8</v>
      </c>
      <c r="EV15" s="35">
        <f t="shared" si="114"/>
        <v>0.78797162362887097</v>
      </c>
      <c r="EW15" s="33">
        <f t="shared" si="115"/>
        <v>5.3049793419849167E-2</v>
      </c>
      <c r="EX15" s="34">
        <f t="shared" si="116"/>
        <v>245734.87267127592</v>
      </c>
      <c r="EY15" s="80">
        <f t="shared" si="117"/>
        <v>0</v>
      </c>
      <c r="EZ15" s="76" t="s">
        <v>8</v>
      </c>
      <c r="FA15" s="30" t="s">
        <v>8</v>
      </c>
      <c r="FB15" s="35">
        <f t="shared" si="118"/>
        <v>0.78797162362887097</v>
      </c>
      <c r="FC15" s="33">
        <f t="shared" si="119"/>
        <v>5.3049793419849167E-2</v>
      </c>
      <c r="FD15" s="34">
        <f t="shared" si="120"/>
        <v>245734.87267127592</v>
      </c>
      <c r="FE15" s="80">
        <f t="shared" si="121"/>
        <v>0</v>
      </c>
      <c r="FF15" s="76" t="s">
        <v>8</v>
      </c>
      <c r="FG15" s="30" t="s">
        <v>8</v>
      </c>
      <c r="FH15" s="35">
        <f t="shared" si="122"/>
        <v>0.78797162362887097</v>
      </c>
      <c r="FI15" s="33">
        <f t="shared" si="123"/>
        <v>5.3049793419849167E-2</v>
      </c>
      <c r="FJ15" s="34">
        <f t="shared" si="124"/>
        <v>245734.87267127592</v>
      </c>
      <c r="FK15" s="80">
        <f t="shared" si="125"/>
        <v>0</v>
      </c>
      <c r="FL15" s="76" t="s">
        <v>8</v>
      </c>
      <c r="FM15" s="30" t="s">
        <v>8</v>
      </c>
      <c r="FN15" s="35">
        <f t="shared" si="126"/>
        <v>0.78797162362887097</v>
      </c>
      <c r="FO15" s="33">
        <f t="shared" si="127"/>
        <v>5.3049793419849167E-2</v>
      </c>
      <c r="FP15" s="34">
        <f t="shared" si="128"/>
        <v>245734.87267127592</v>
      </c>
      <c r="FQ15" s="80">
        <f t="shared" si="129"/>
        <v>0</v>
      </c>
      <c r="FR15" s="76" t="s">
        <v>8</v>
      </c>
      <c r="FS15" s="30" t="s">
        <v>8</v>
      </c>
      <c r="FT15" s="35">
        <f t="shared" si="130"/>
        <v>0.78797162362887097</v>
      </c>
      <c r="FU15" s="33">
        <f t="shared" si="131"/>
        <v>5.3049793419849167E-2</v>
      </c>
      <c r="FV15" s="34">
        <f t="shared" si="132"/>
        <v>245734.87267127592</v>
      </c>
      <c r="FW15" s="80">
        <f t="shared" si="133"/>
        <v>0</v>
      </c>
      <c r="FX15" s="76" t="s">
        <v>8</v>
      </c>
      <c r="FY15" s="30" t="s">
        <v>8</v>
      </c>
      <c r="FZ15" s="35">
        <f t="shared" si="134"/>
        <v>0.78797162362887097</v>
      </c>
      <c r="GA15" s="33">
        <f t="shared" si="135"/>
        <v>5.3049793419849167E-2</v>
      </c>
      <c r="GB15" s="34">
        <f t="shared" si="136"/>
        <v>245734.87267127592</v>
      </c>
      <c r="GC15" s="80">
        <f t="shared" si="137"/>
        <v>0</v>
      </c>
      <c r="GD15" s="76" t="s">
        <v>8</v>
      </c>
      <c r="GE15" s="30" t="s">
        <v>8</v>
      </c>
      <c r="GF15" s="35">
        <f t="shared" si="138"/>
        <v>0.78797162362887097</v>
      </c>
      <c r="GG15" s="33">
        <f t="shared" si="139"/>
        <v>5.3049793419849167E-2</v>
      </c>
      <c r="GH15" s="34">
        <f t="shared" si="140"/>
        <v>245734.87267127592</v>
      </c>
      <c r="GI15" s="132">
        <f t="shared" si="141"/>
        <v>0</v>
      </c>
      <c r="GJ15" s="223">
        <f t="shared" si="145"/>
        <v>320437.2309575635</v>
      </c>
      <c r="GK15" s="104">
        <f t="shared" si="146"/>
        <v>685095.27480380144</v>
      </c>
      <c r="GL15" s="86">
        <f t="shared" si="142"/>
        <v>0.78797162362887108</v>
      </c>
      <c r="GN15" s="214">
        <v>685095.27</v>
      </c>
    </row>
    <row r="16" spans="1:196" s="25" customFormat="1" x14ac:dyDescent="0.25">
      <c r="A16" s="184" t="s">
        <v>180</v>
      </c>
      <c r="B16" s="155" t="s">
        <v>8</v>
      </c>
      <c r="C16" s="155" t="s">
        <v>8</v>
      </c>
      <c r="D16" s="155" t="s">
        <v>8</v>
      </c>
      <c r="E16" s="155" t="s">
        <v>8</v>
      </c>
      <c r="F16" s="155" t="s">
        <v>8</v>
      </c>
      <c r="G16" s="113">
        <f>'Исходные данные 25 г.'!C18</f>
        <v>279</v>
      </c>
      <c r="H16" s="49">
        <f>'Исходные данные 2027г. '!D18</f>
        <v>137430</v>
      </c>
      <c r="I16" s="32">
        <f>'Расчет КРП'!H14</f>
        <v>7.7157631684014945</v>
      </c>
      <c r="J16" s="120" t="s">
        <v>8</v>
      </c>
      <c r="K16" s="124">
        <f t="shared" si="22"/>
        <v>9.8601972046548414E-2</v>
      </c>
      <c r="L16" s="77">
        <f t="shared" si="23"/>
        <v>271305.58462160098</v>
      </c>
      <c r="M16" s="73">
        <f t="shared" si="24"/>
        <v>0.29325572792904553</v>
      </c>
      <c r="N16" s="30" t="s">
        <v>8</v>
      </c>
      <c r="O16" s="33">
        <f t="shared" si="25"/>
        <v>0.13272801700281944</v>
      </c>
      <c r="P16" s="34">
        <f t="shared" si="143"/>
        <v>462837.87868913554</v>
      </c>
      <c r="Q16" s="80">
        <f t="shared" si="26"/>
        <v>462837.87868913554</v>
      </c>
      <c r="R16" s="160" t="s">
        <v>8</v>
      </c>
      <c r="S16" s="30" t="s">
        <v>8</v>
      </c>
      <c r="T16" s="35">
        <f t="shared" si="27"/>
        <v>0.62532825631869782</v>
      </c>
      <c r="U16" s="33">
        <f t="shared" si="28"/>
        <v>-1.5548825351058171E-2</v>
      </c>
      <c r="V16" s="53">
        <f t="shared" si="29"/>
        <v>0</v>
      </c>
      <c r="W16" s="80">
        <f t="shared" si="30"/>
        <v>0</v>
      </c>
      <c r="X16" s="76" t="s">
        <v>8</v>
      </c>
      <c r="Y16" s="30" t="s">
        <v>8</v>
      </c>
      <c r="Z16" s="35">
        <f t="shared" si="31"/>
        <v>0.62532825631869782</v>
      </c>
      <c r="AA16" s="33">
        <f t="shared" si="32"/>
        <v>0.12224046456931248</v>
      </c>
      <c r="AB16" s="53">
        <f t="shared" si="33"/>
        <v>611872.72118085087</v>
      </c>
      <c r="AC16" s="80">
        <f t="shared" si="34"/>
        <v>398711.21835738374</v>
      </c>
      <c r="AD16" s="76" t="s">
        <v>8</v>
      </c>
      <c r="AE16" s="30" t="s">
        <v>8</v>
      </c>
      <c r="AF16" s="35">
        <f t="shared" si="35"/>
        <v>0.91139179708214102</v>
      </c>
      <c r="AG16" s="33">
        <f t="shared" si="36"/>
        <v>-7.0370380033420887E-2</v>
      </c>
      <c r="AH16" s="53">
        <f t="shared" si="37"/>
        <v>0</v>
      </c>
      <c r="AI16" s="80">
        <f t="shared" si="38"/>
        <v>0</v>
      </c>
      <c r="AJ16" s="76" t="s">
        <v>8</v>
      </c>
      <c r="AK16" s="30" t="s">
        <v>8</v>
      </c>
      <c r="AL16" s="35">
        <f t="shared" si="39"/>
        <v>0.91139179708214102</v>
      </c>
      <c r="AM16" s="33">
        <f t="shared" si="40"/>
        <v>-7.0370380033420887E-2</v>
      </c>
      <c r="AN16" s="53">
        <f t="shared" si="41"/>
        <v>0</v>
      </c>
      <c r="AO16" s="80">
        <f t="shared" si="42"/>
        <v>0</v>
      </c>
      <c r="AP16" s="76" t="s">
        <v>8</v>
      </c>
      <c r="AQ16" s="30" t="s">
        <v>8</v>
      </c>
      <c r="AR16" s="35">
        <f t="shared" si="43"/>
        <v>0.91139179708214102</v>
      </c>
      <c r="AS16" s="33">
        <f t="shared" si="44"/>
        <v>-7.0370380033420887E-2</v>
      </c>
      <c r="AT16" s="53">
        <f t="shared" si="45"/>
        <v>0</v>
      </c>
      <c r="AU16" s="80">
        <f t="shared" si="46"/>
        <v>0</v>
      </c>
      <c r="AV16" s="76" t="s">
        <v>8</v>
      </c>
      <c r="AW16" s="30" t="s">
        <v>8</v>
      </c>
      <c r="AX16" s="35">
        <f t="shared" si="47"/>
        <v>0.91139179708214102</v>
      </c>
      <c r="AY16" s="33">
        <f t="shared" si="48"/>
        <v>-7.0370380033420887E-2</v>
      </c>
      <c r="AZ16" s="53">
        <f t="shared" si="49"/>
        <v>0</v>
      </c>
      <c r="BA16" s="80">
        <f t="shared" si="50"/>
        <v>0</v>
      </c>
      <c r="BB16" s="76" t="s">
        <v>8</v>
      </c>
      <c r="BC16" s="30" t="s">
        <v>8</v>
      </c>
      <c r="BD16" s="35">
        <f t="shared" si="51"/>
        <v>0.91139179708214102</v>
      </c>
      <c r="BE16" s="33">
        <f t="shared" si="52"/>
        <v>-7.0370380033420887E-2</v>
      </c>
      <c r="BF16" s="53">
        <f t="shared" si="53"/>
        <v>0</v>
      </c>
      <c r="BG16" s="80">
        <f t="shared" si="54"/>
        <v>0</v>
      </c>
      <c r="BH16" s="76" t="s">
        <v>8</v>
      </c>
      <c r="BI16" s="30" t="s">
        <v>8</v>
      </c>
      <c r="BJ16" s="35">
        <f t="shared" si="55"/>
        <v>0.91139179708214102</v>
      </c>
      <c r="BK16" s="33">
        <f t="shared" si="56"/>
        <v>-7.0370380033420887E-2</v>
      </c>
      <c r="BL16" s="53">
        <f t="shared" si="57"/>
        <v>0</v>
      </c>
      <c r="BM16" s="80">
        <f t="shared" si="58"/>
        <v>0</v>
      </c>
      <c r="BN16" s="76" t="s">
        <v>8</v>
      </c>
      <c r="BO16" s="30" t="s">
        <v>8</v>
      </c>
      <c r="BP16" s="35">
        <f t="shared" si="59"/>
        <v>0.91139179708214102</v>
      </c>
      <c r="BQ16" s="33">
        <f t="shared" si="60"/>
        <v>-7.0370380033420887E-2</v>
      </c>
      <c r="BR16" s="53">
        <f t="shared" si="61"/>
        <v>0</v>
      </c>
      <c r="BS16" s="132">
        <f t="shared" si="62"/>
        <v>0</v>
      </c>
      <c r="BT16" s="76" t="s">
        <v>8</v>
      </c>
      <c r="BU16" s="30" t="s">
        <v>8</v>
      </c>
      <c r="BV16" s="35">
        <f t="shared" si="63"/>
        <v>0.91139179708214102</v>
      </c>
      <c r="BW16" s="33">
        <f t="shared" si="64"/>
        <v>-7.0370380033420887E-2</v>
      </c>
      <c r="BX16" s="53">
        <f t="shared" si="65"/>
        <v>0</v>
      </c>
      <c r="BY16" s="132">
        <f t="shared" si="66"/>
        <v>0</v>
      </c>
      <c r="BZ16" s="76" t="s">
        <v>8</v>
      </c>
      <c r="CA16" s="30" t="s">
        <v>8</v>
      </c>
      <c r="CB16" s="35">
        <f t="shared" si="67"/>
        <v>0.91139179708214102</v>
      </c>
      <c r="CC16" s="33">
        <f t="shared" si="68"/>
        <v>-7.0370380033420887E-2</v>
      </c>
      <c r="CD16" s="53">
        <f t="shared" si="69"/>
        <v>0</v>
      </c>
      <c r="CE16" s="132">
        <f t="shared" si="70"/>
        <v>0</v>
      </c>
      <c r="CF16" s="76" t="s">
        <v>8</v>
      </c>
      <c r="CG16" s="30" t="s">
        <v>8</v>
      </c>
      <c r="CH16" s="35">
        <f t="shared" si="71"/>
        <v>0.91139179708214102</v>
      </c>
      <c r="CI16" s="33">
        <f t="shared" si="72"/>
        <v>-7.0370380033420887E-2</v>
      </c>
      <c r="CJ16" s="53">
        <f t="shared" si="73"/>
        <v>0</v>
      </c>
      <c r="CK16" s="132">
        <f t="shared" si="74"/>
        <v>0</v>
      </c>
      <c r="CL16" s="76" t="s">
        <v>8</v>
      </c>
      <c r="CM16" s="30" t="s">
        <v>8</v>
      </c>
      <c r="CN16" s="35">
        <f t="shared" si="75"/>
        <v>0.91139179708214102</v>
      </c>
      <c r="CO16" s="33">
        <f t="shared" si="76"/>
        <v>-7.0370380033420887E-2</v>
      </c>
      <c r="CP16" s="53">
        <f t="shared" si="77"/>
        <v>0</v>
      </c>
      <c r="CQ16" s="132">
        <f t="shared" si="78"/>
        <v>0</v>
      </c>
      <c r="CR16" s="76" t="s">
        <v>8</v>
      </c>
      <c r="CS16" s="30" t="s">
        <v>8</v>
      </c>
      <c r="CT16" s="35">
        <f t="shared" si="79"/>
        <v>0.91139179708214102</v>
      </c>
      <c r="CU16" s="33">
        <f t="shared" si="80"/>
        <v>-7.0370380033420887E-2</v>
      </c>
      <c r="CV16" s="53">
        <f t="shared" si="81"/>
        <v>0</v>
      </c>
      <c r="CW16" s="132">
        <f t="shared" si="82"/>
        <v>0</v>
      </c>
      <c r="CX16" s="76" t="s">
        <v>8</v>
      </c>
      <c r="CY16" s="30" t="s">
        <v>8</v>
      </c>
      <c r="CZ16" s="35">
        <f t="shared" si="83"/>
        <v>0.91139179708214102</v>
      </c>
      <c r="DA16" s="33">
        <f t="shared" si="84"/>
        <v>-7.0370380033420887E-2</v>
      </c>
      <c r="DB16" s="53">
        <f t="shared" si="85"/>
        <v>0</v>
      </c>
      <c r="DC16" s="132">
        <f t="shared" si="86"/>
        <v>0</v>
      </c>
      <c r="DD16" s="76" t="s">
        <v>8</v>
      </c>
      <c r="DE16" s="30" t="s">
        <v>8</v>
      </c>
      <c r="DF16" s="35">
        <f t="shared" si="87"/>
        <v>0.91139179708214102</v>
      </c>
      <c r="DG16" s="33">
        <f t="shared" si="88"/>
        <v>-7.0370380033420887E-2</v>
      </c>
      <c r="DH16" s="53">
        <f t="shared" si="89"/>
        <v>0</v>
      </c>
      <c r="DI16" s="132">
        <f t="shared" si="90"/>
        <v>0</v>
      </c>
      <c r="DJ16" s="76" t="s">
        <v>8</v>
      </c>
      <c r="DK16" s="30" t="s">
        <v>8</v>
      </c>
      <c r="DL16" s="35">
        <f t="shared" si="91"/>
        <v>0.91139179708214102</v>
      </c>
      <c r="DM16" s="51">
        <f t="shared" si="92"/>
        <v>-7.0370380033420887E-2</v>
      </c>
      <c r="DN16" s="53">
        <f t="shared" si="93"/>
        <v>0</v>
      </c>
      <c r="DO16" s="132">
        <f t="shared" si="94"/>
        <v>0</v>
      </c>
      <c r="DP16" s="76" t="s">
        <v>8</v>
      </c>
      <c r="DQ16" s="30" t="s">
        <v>8</v>
      </c>
      <c r="DR16" s="35">
        <f t="shared" si="95"/>
        <v>0.91139179708214102</v>
      </c>
      <c r="DS16" s="51">
        <f t="shared" si="96"/>
        <v>-7.0370380033420887E-2</v>
      </c>
      <c r="DT16" s="53">
        <f t="shared" si="144"/>
        <v>0</v>
      </c>
      <c r="DU16" s="132">
        <f t="shared" si="97"/>
        <v>0</v>
      </c>
      <c r="DV16" s="76" t="s">
        <v>8</v>
      </c>
      <c r="DW16" s="30" t="s">
        <v>8</v>
      </c>
      <c r="DX16" s="35">
        <f t="shared" si="98"/>
        <v>0.91139179708214102</v>
      </c>
      <c r="DY16" s="33">
        <f t="shared" si="99"/>
        <v>-7.0370380033420887E-2</v>
      </c>
      <c r="DZ16" s="34">
        <f t="shared" si="100"/>
        <v>0</v>
      </c>
      <c r="EA16" s="80">
        <f t="shared" si="101"/>
        <v>0</v>
      </c>
      <c r="EB16" s="76" t="s">
        <v>8</v>
      </c>
      <c r="EC16" s="30" t="s">
        <v>8</v>
      </c>
      <c r="ED16" s="35">
        <f t="shared" si="102"/>
        <v>0.91139179708214102</v>
      </c>
      <c r="EE16" s="33">
        <f t="shared" si="103"/>
        <v>-7.0370380033420887E-2</v>
      </c>
      <c r="EF16" s="34">
        <f t="shared" si="104"/>
        <v>0</v>
      </c>
      <c r="EG16" s="80">
        <f t="shared" si="105"/>
        <v>0</v>
      </c>
      <c r="EH16" s="76" t="s">
        <v>8</v>
      </c>
      <c r="EI16" s="30" t="s">
        <v>8</v>
      </c>
      <c r="EJ16" s="35">
        <f t="shared" si="106"/>
        <v>0.91139179708214102</v>
      </c>
      <c r="EK16" s="33">
        <f t="shared" si="107"/>
        <v>-7.0370380033420887E-2</v>
      </c>
      <c r="EL16" s="34">
        <f t="shared" si="108"/>
        <v>0</v>
      </c>
      <c r="EM16" s="80">
        <f t="shared" si="109"/>
        <v>0</v>
      </c>
      <c r="EN16" s="76" t="s">
        <v>8</v>
      </c>
      <c r="EO16" s="30" t="s">
        <v>8</v>
      </c>
      <c r="EP16" s="35">
        <f t="shared" si="110"/>
        <v>0.91139179708214102</v>
      </c>
      <c r="EQ16" s="51">
        <f t="shared" si="111"/>
        <v>-7.0370380033420887E-2</v>
      </c>
      <c r="ER16" s="34">
        <f t="shared" si="112"/>
        <v>0</v>
      </c>
      <c r="ES16" s="80">
        <f t="shared" si="113"/>
        <v>0</v>
      </c>
      <c r="ET16" s="76" t="s">
        <v>8</v>
      </c>
      <c r="EU16" s="30" t="s">
        <v>8</v>
      </c>
      <c r="EV16" s="35">
        <f t="shared" si="114"/>
        <v>0.91139179708214102</v>
      </c>
      <c r="EW16" s="33">
        <f t="shared" si="115"/>
        <v>-7.0370380033420887E-2</v>
      </c>
      <c r="EX16" s="34">
        <f t="shared" si="116"/>
        <v>0</v>
      </c>
      <c r="EY16" s="80">
        <f t="shared" si="117"/>
        <v>0</v>
      </c>
      <c r="EZ16" s="76" t="s">
        <v>8</v>
      </c>
      <c r="FA16" s="30" t="s">
        <v>8</v>
      </c>
      <c r="FB16" s="35">
        <f t="shared" si="118"/>
        <v>0.91139179708214102</v>
      </c>
      <c r="FC16" s="33">
        <f t="shared" si="119"/>
        <v>-7.0370380033420887E-2</v>
      </c>
      <c r="FD16" s="34">
        <f t="shared" si="120"/>
        <v>0</v>
      </c>
      <c r="FE16" s="80">
        <f t="shared" si="121"/>
        <v>0</v>
      </c>
      <c r="FF16" s="76" t="s">
        <v>8</v>
      </c>
      <c r="FG16" s="30" t="s">
        <v>8</v>
      </c>
      <c r="FH16" s="35">
        <f t="shared" si="122"/>
        <v>0.91139179708214102</v>
      </c>
      <c r="FI16" s="33">
        <f t="shared" si="123"/>
        <v>-7.0370380033420887E-2</v>
      </c>
      <c r="FJ16" s="34">
        <f t="shared" si="124"/>
        <v>0</v>
      </c>
      <c r="FK16" s="80">
        <f t="shared" si="125"/>
        <v>0</v>
      </c>
      <c r="FL16" s="76" t="s">
        <v>8</v>
      </c>
      <c r="FM16" s="30" t="s">
        <v>8</v>
      </c>
      <c r="FN16" s="35">
        <f t="shared" si="126"/>
        <v>0.91139179708214102</v>
      </c>
      <c r="FO16" s="33">
        <f t="shared" si="127"/>
        <v>-7.0370380033420887E-2</v>
      </c>
      <c r="FP16" s="34">
        <f t="shared" si="128"/>
        <v>0</v>
      </c>
      <c r="FQ16" s="80">
        <f t="shared" si="129"/>
        <v>0</v>
      </c>
      <c r="FR16" s="76" t="s">
        <v>8</v>
      </c>
      <c r="FS16" s="30" t="s">
        <v>8</v>
      </c>
      <c r="FT16" s="35">
        <f t="shared" si="130"/>
        <v>0.91139179708214102</v>
      </c>
      <c r="FU16" s="33">
        <f t="shared" si="131"/>
        <v>-7.0370380033420887E-2</v>
      </c>
      <c r="FV16" s="34">
        <f t="shared" si="132"/>
        <v>0</v>
      </c>
      <c r="FW16" s="80">
        <f t="shared" si="133"/>
        <v>0</v>
      </c>
      <c r="FX16" s="76" t="s">
        <v>8</v>
      </c>
      <c r="FY16" s="30" t="s">
        <v>8</v>
      </c>
      <c r="FZ16" s="35">
        <f t="shared" si="134"/>
        <v>0.91139179708214102</v>
      </c>
      <c r="GA16" s="33">
        <f t="shared" si="135"/>
        <v>-7.0370380033420887E-2</v>
      </c>
      <c r="GB16" s="34">
        <f t="shared" si="136"/>
        <v>0</v>
      </c>
      <c r="GC16" s="80">
        <f t="shared" si="137"/>
        <v>0</v>
      </c>
      <c r="GD16" s="76" t="s">
        <v>8</v>
      </c>
      <c r="GE16" s="30" t="s">
        <v>8</v>
      </c>
      <c r="GF16" s="35">
        <f t="shared" si="138"/>
        <v>0.91139179708214102</v>
      </c>
      <c r="GG16" s="33">
        <f t="shared" si="139"/>
        <v>-7.0370380033420887E-2</v>
      </c>
      <c r="GH16" s="34">
        <f t="shared" si="140"/>
        <v>0</v>
      </c>
      <c r="GI16" s="132">
        <f t="shared" si="141"/>
        <v>0</v>
      </c>
      <c r="GJ16" s="223">
        <f t="shared" si="145"/>
        <v>861549.09704651928</v>
      </c>
      <c r="GK16" s="104">
        <f t="shared" si="146"/>
        <v>1132854.6816681202</v>
      </c>
      <c r="GL16" s="86">
        <f t="shared" si="142"/>
        <v>0.91139179708214113</v>
      </c>
      <c r="GN16" s="214">
        <v>1132854.68</v>
      </c>
    </row>
    <row r="17" spans="1:196" s="25" customFormat="1" x14ac:dyDescent="0.25">
      <c r="A17" s="184" t="s">
        <v>181</v>
      </c>
      <c r="B17" s="155" t="s">
        <v>8</v>
      </c>
      <c r="C17" s="155" t="s">
        <v>8</v>
      </c>
      <c r="D17" s="155" t="s">
        <v>8</v>
      </c>
      <c r="E17" s="155" t="s">
        <v>8</v>
      </c>
      <c r="F17" s="155" t="s">
        <v>8</v>
      </c>
      <c r="G17" s="113">
        <f>'Исходные данные 25 г.'!C19</f>
        <v>671</v>
      </c>
      <c r="H17" s="49">
        <f>'Исходные данные 2027г. '!D19</f>
        <v>203430</v>
      </c>
      <c r="I17" s="32">
        <f>'Расчет КРП'!H15</f>
        <v>5.1770695473284416</v>
      </c>
      <c r="J17" s="120" t="s">
        <v>8</v>
      </c>
      <c r="K17" s="124">
        <f t="shared" si="22"/>
        <v>9.0447303992689534E-2</v>
      </c>
      <c r="L17" s="77">
        <f t="shared" si="23"/>
        <v>652494.79312220169</v>
      </c>
      <c r="M17" s="73">
        <f t="shared" si="24"/>
        <v>0.38055394955711391</v>
      </c>
      <c r="N17" s="30" t="s">
        <v>8</v>
      </c>
      <c r="O17" s="33">
        <f t="shared" si="25"/>
        <v>4.5429795374751059E-2</v>
      </c>
      <c r="P17" s="34">
        <f t="shared" si="143"/>
        <v>255640.99341408449</v>
      </c>
      <c r="Q17" s="80">
        <f t="shared" si="26"/>
        <v>255640.99341408449</v>
      </c>
      <c r="R17" s="160" t="s">
        <v>8</v>
      </c>
      <c r="S17" s="30" t="s">
        <v>8</v>
      </c>
      <c r="T17" s="35">
        <f t="shared" si="27"/>
        <v>0.49421485819554889</v>
      </c>
      <c r="U17" s="33">
        <f t="shared" si="28"/>
        <v>0.11556457277209076</v>
      </c>
      <c r="V17" s="53">
        <f t="shared" si="29"/>
        <v>792195.0834919815</v>
      </c>
      <c r="W17" s="80">
        <f t="shared" si="30"/>
        <v>792195.0834919815</v>
      </c>
      <c r="X17" s="76" t="s">
        <v>8</v>
      </c>
      <c r="Y17" s="30" t="s">
        <v>8</v>
      </c>
      <c r="Z17" s="35">
        <f t="shared" si="31"/>
        <v>0.84643385017369044</v>
      </c>
      <c r="AA17" s="33">
        <f t="shared" si="32"/>
        <v>-9.8865129285680142E-2</v>
      </c>
      <c r="AB17" s="53">
        <f t="shared" si="33"/>
        <v>0</v>
      </c>
      <c r="AC17" s="80">
        <f t="shared" si="34"/>
        <v>0</v>
      </c>
      <c r="AD17" s="76" t="s">
        <v>8</v>
      </c>
      <c r="AE17" s="30" t="s">
        <v>8</v>
      </c>
      <c r="AF17" s="35">
        <f t="shared" si="35"/>
        <v>0.84643385017369044</v>
      </c>
      <c r="AG17" s="33">
        <f t="shared" si="36"/>
        <v>-5.4124331249703062E-3</v>
      </c>
      <c r="AH17" s="53">
        <f t="shared" si="37"/>
        <v>0</v>
      </c>
      <c r="AI17" s="80">
        <f t="shared" si="38"/>
        <v>0</v>
      </c>
      <c r="AJ17" s="76" t="s">
        <v>8</v>
      </c>
      <c r="AK17" s="30" t="s">
        <v>8</v>
      </c>
      <c r="AL17" s="35">
        <f t="shared" si="39"/>
        <v>0.84643385017369044</v>
      </c>
      <c r="AM17" s="33">
        <f t="shared" si="40"/>
        <v>-5.4124331249703062E-3</v>
      </c>
      <c r="AN17" s="53">
        <f t="shared" si="41"/>
        <v>0</v>
      </c>
      <c r="AO17" s="80">
        <f t="shared" si="42"/>
        <v>0</v>
      </c>
      <c r="AP17" s="76" t="s">
        <v>8</v>
      </c>
      <c r="AQ17" s="30" t="s">
        <v>8</v>
      </c>
      <c r="AR17" s="35">
        <f t="shared" si="43"/>
        <v>0.84643385017369044</v>
      </c>
      <c r="AS17" s="33">
        <f t="shared" si="44"/>
        <v>-5.4124331249703062E-3</v>
      </c>
      <c r="AT17" s="53">
        <f t="shared" si="45"/>
        <v>0</v>
      </c>
      <c r="AU17" s="80">
        <f t="shared" si="46"/>
        <v>0</v>
      </c>
      <c r="AV17" s="76" t="s">
        <v>8</v>
      </c>
      <c r="AW17" s="30" t="s">
        <v>8</v>
      </c>
      <c r="AX17" s="35">
        <f t="shared" si="47"/>
        <v>0.84643385017369044</v>
      </c>
      <c r="AY17" s="33">
        <f t="shared" si="48"/>
        <v>-5.4124331249703062E-3</v>
      </c>
      <c r="AZ17" s="53">
        <f t="shared" si="49"/>
        <v>0</v>
      </c>
      <c r="BA17" s="80">
        <f t="shared" si="50"/>
        <v>0</v>
      </c>
      <c r="BB17" s="76" t="s">
        <v>8</v>
      </c>
      <c r="BC17" s="30" t="s">
        <v>8</v>
      </c>
      <c r="BD17" s="35">
        <f t="shared" si="51"/>
        <v>0.84643385017369044</v>
      </c>
      <c r="BE17" s="33">
        <f t="shared" si="52"/>
        <v>-5.4124331249703062E-3</v>
      </c>
      <c r="BF17" s="53">
        <f t="shared" si="53"/>
        <v>0</v>
      </c>
      <c r="BG17" s="80">
        <f t="shared" si="54"/>
        <v>0</v>
      </c>
      <c r="BH17" s="76" t="s">
        <v>8</v>
      </c>
      <c r="BI17" s="30" t="s">
        <v>8</v>
      </c>
      <c r="BJ17" s="35">
        <f t="shared" si="55"/>
        <v>0.84643385017369044</v>
      </c>
      <c r="BK17" s="33">
        <f t="shared" si="56"/>
        <v>-5.4124331249703062E-3</v>
      </c>
      <c r="BL17" s="53">
        <f t="shared" si="57"/>
        <v>0</v>
      </c>
      <c r="BM17" s="80">
        <f t="shared" si="58"/>
        <v>0</v>
      </c>
      <c r="BN17" s="76" t="s">
        <v>8</v>
      </c>
      <c r="BO17" s="30" t="s">
        <v>8</v>
      </c>
      <c r="BP17" s="35">
        <f t="shared" si="59"/>
        <v>0.84643385017369044</v>
      </c>
      <c r="BQ17" s="33">
        <f t="shared" si="60"/>
        <v>-5.4124331249703062E-3</v>
      </c>
      <c r="BR17" s="53">
        <f t="shared" si="61"/>
        <v>0</v>
      </c>
      <c r="BS17" s="132">
        <f t="shared" si="62"/>
        <v>0</v>
      </c>
      <c r="BT17" s="76" t="s">
        <v>8</v>
      </c>
      <c r="BU17" s="30" t="s">
        <v>8</v>
      </c>
      <c r="BV17" s="35">
        <f t="shared" si="63"/>
        <v>0.84643385017369044</v>
      </c>
      <c r="BW17" s="33">
        <f t="shared" si="64"/>
        <v>-5.4124331249703062E-3</v>
      </c>
      <c r="BX17" s="53">
        <f t="shared" si="65"/>
        <v>0</v>
      </c>
      <c r="BY17" s="132">
        <f t="shared" si="66"/>
        <v>0</v>
      </c>
      <c r="BZ17" s="76" t="s">
        <v>8</v>
      </c>
      <c r="CA17" s="30" t="s">
        <v>8</v>
      </c>
      <c r="CB17" s="35">
        <f t="shared" si="67"/>
        <v>0.84643385017369044</v>
      </c>
      <c r="CC17" s="33">
        <f t="shared" si="68"/>
        <v>-5.4124331249703062E-3</v>
      </c>
      <c r="CD17" s="53">
        <f t="shared" si="69"/>
        <v>0</v>
      </c>
      <c r="CE17" s="132">
        <f t="shared" si="70"/>
        <v>0</v>
      </c>
      <c r="CF17" s="76" t="s">
        <v>8</v>
      </c>
      <c r="CG17" s="30" t="s">
        <v>8</v>
      </c>
      <c r="CH17" s="35">
        <f t="shared" si="71"/>
        <v>0.84643385017369044</v>
      </c>
      <c r="CI17" s="33">
        <f t="shared" si="72"/>
        <v>-5.4124331249703062E-3</v>
      </c>
      <c r="CJ17" s="53">
        <f t="shared" si="73"/>
        <v>0</v>
      </c>
      <c r="CK17" s="132">
        <f t="shared" si="74"/>
        <v>0</v>
      </c>
      <c r="CL17" s="76" t="s">
        <v>8</v>
      </c>
      <c r="CM17" s="30" t="s">
        <v>8</v>
      </c>
      <c r="CN17" s="35">
        <f t="shared" si="75"/>
        <v>0.84643385017369044</v>
      </c>
      <c r="CO17" s="33">
        <f t="shared" si="76"/>
        <v>-5.4124331249703062E-3</v>
      </c>
      <c r="CP17" s="53">
        <f t="shared" si="77"/>
        <v>0</v>
      </c>
      <c r="CQ17" s="132">
        <f t="shared" si="78"/>
        <v>0</v>
      </c>
      <c r="CR17" s="76" t="s">
        <v>8</v>
      </c>
      <c r="CS17" s="30" t="s">
        <v>8</v>
      </c>
      <c r="CT17" s="35">
        <f t="shared" si="79"/>
        <v>0.84643385017369044</v>
      </c>
      <c r="CU17" s="33">
        <f t="shared" si="80"/>
        <v>-5.4124331249703062E-3</v>
      </c>
      <c r="CV17" s="53">
        <f t="shared" si="81"/>
        <v>0</v>
      </c>
      <c r="CW17" s="132">
        <f t="shared" si="82"/>
        <v>0</v>
      </c>
      <c r="CX17" s="76" t="s">
        <v>8</v>
      </c>
      <c r="CY17" s="30" t="s">
        <v>8</v>
      </c>
      <c r="CZ17" s="35">
        <f t="shared" si="83"/>
        <v>0.84643385017369044</v>
      </c>
      <c r="DA17" s="33">
        <f t="shared" si="84"/>
        <v>-5.4124331249703062E-3</v>
      </c>
      <c r="DB17" s="53">
        <f t="shared" si="85"/>
        <v>0</v>
      </c>
      <c r="DC17" s="132">
        <f t="shared" si="86"/>
        <v>0</v>
      </c>
      <c r="DD17" s="76" t="s">
        <v>8</v>
      </c>
      <c r="DE17" s="30" t="s">
        <v>8</v>
      </c>
      <c r="DF17" s="35">
        <f t="shared" si="87"/>
        <v>0.84643385017369044</v>
      </c>
      <c r="DG17" s="33">
        <f t="shared" si="88"/>
        <v>-5.4124331249703062E-3</v>
      </c>
      <c r="DH17" s="53">
        <f t="shared" si="89"/>
        <v>0</v>
      </c>
      <c r="DI17" s="132">
        <f t="shared" si="90"/>
        <v>0</v>
      </c>
      <c r="DJ17" s="76" t="s">
        <v>8</v>
      </c>
      <c r="DK17" s="30" t="s">
        <v>8</v>
      </c>
      <c r="DL17" s="35">
        <f t="shared" si="91"/>
        <v>0.84643385017369044</v>
      </c>
      <c r="DM17" s="51">
        <f t="shared" si="92"/>
        <v>-5.4124331249703062E-3</v>
      </c>
      <c r="DN17" s="53">
        <f t="shared" si="93"/>
        <v>0</v>
      </c>
      <c r="DO17" s="132">
        <f t="shared" si="94"/>
        <v>0</v>
      </c>
      <c r="DP17" s="76" t="s">
        <v>8</v>
      </c>
      <c r="DQ17" s="30" t="s">
        <v>8</v>
      </c>
      <c r="DR17" s="35">
        <f t="shared" si="95"/>
        <v>0.84643385017369044</v>
      </c>
      <c r="DS17" s="51">
        <f t="shared" si="96"/>
        <v>-5.4124331249703062E-3</v>
      </c>
      <c r="DT17" s="53">
        <f t="shared" si="144"/>
        <v>0</v>
      </c>
      <c r="DU17" s="132">
        <f t="shared" si="97"/>
        <v>0</v>
      </c>
      <c r="DV17" s="76" t="s">
        <v>8</v>
      </c>
      <c r="DW17" s="30" t="s">
        <v>8</v>
      </c>
      <c r="DX17" s="35">
        <f t="shared" si="98"/>
        <v>0.84643385017369044</v>
      </c>
      <c r="DY17" s="33">
        <f t="shared" si="99"/>
        <v>-5.4124331249703062E-3</v>
      </c>
      <c r="DZ17" s="34">
        <f t="shared" si="100"/>
        <v>0</v>
      </c>
      <c r="EA17" s="80">
        <f t="shared" si="101"/>
        <v>0</v>
      </c>
      <c r="EB17" s="76" t="s">
        <v>8</v>
      </c>
      <c r="EC17" s="30" t="s">
        <v>8</v>
      </c>
      <c r="ED17" s="35">
        <f t="shared" si="102"/>
        <v>0.84643385017369044</v>
      </c>
      <c r="EE17" s="33">
        <f t="shared" si="103"/>
        <v>-5.4124331249703062E-3</v>
      </c>
      <c r="EF17" s="34">
        <f t="shared" si="104"/>
        <v>0</v>
      </c>
      <c r="EG17" s="80">
        <f t="shared" si="105"/>
        <v>0</v>
      </c>
      <c r="EH17" s="76" t="s">
        <v>8</v>
      </c>
      <c r="EI17" s="30" t="s">
        <v>8</v>
      </c>
      <c r="EJ17" s="35">
        <f t="shared" si="106"/>
        <v>0.84643385017369044</v>
      </c>
      <c r="EK17" s="33">
        <f t="shared" si="107"/>
        <v>-5.4124331249703062E-3</v>
      </c>
      <c r="EL17" s="34">
        <f t="shared" si="108"/>
        <v>0</v>
      </c>
      <c r="EM17" s="80">
        <f t="shared" si="109"/>
        <v>0</v>
      </c>
      <c r="EN17" s="76" t="s">
        <v>8</v>
      </c>
      <c r="EO17" s="30" t="s">
        <v>8</v>
      </c>
      <c r="EP17" s="35">
        <f t="shared" si="110"/>
        <v>0.84643385017369044</v>
      </c>
      <c r="EQ17" s="51">
        <f t="shared" si="111"/>
        <v>-5.4124331249703062E-3</v>
      </c>
      <c r="ER17" s="34">
        <f t="shared" si="112"/>
        <v>0</v>
      </c>
      <c r="ES17" s="80">
        <f t="shared" si="113"/>
        <v>0</v>
      </c>
      <c r="ET17" s="76" t="s">
        <v>8</v>
      </c>
      <c r="EU17" s="30" t="s">
        <v>8</v>
      </c>
      <c r="EV17" s="35">
        <f t="shared" si="114"/>
        <v>0.84643385017369044</v>
      </c>
      <c r="EW17" s="33">
        <f t="shared" si="115"/>
        <v>-5.4124331249703062E-3</v>
      </c>
      <c r="EX17" s="34">
        <f t="shared" si="116"/>
        <v>0</v>
      </c>
      <c r="EY17" s="80">
        <f t="shared" si="117"/>
        <v>0</v>
      </c>
      <c r="EZ17" s="76" t="s">
        <v>8</v>
      </c>
      <c r="FA17" s="30" t="s">
        <v>8</v>
      </c>
      <c r="FB17" s="35">
        <f t="shared" si="118"/>
        <v>0.84643385017369044</v>
      </c>
      <c r="FC17" s="33">
        <f t="shared" si="119"/>
        <v>-5.4124331249703062E-3</v>
      </c>
      <c r="FD17" s="34">
        <f t="shared" si="120"/>
        <v>0</v>
      </c>
      <c r="FE17" s="80">
        <f t="shared" si="121"/>
        <v>0</v>
      </c>
      <c r="FF17" s="76" t="s">
        <v>8</v>
      </c>
      <c r="FG17" s="30" t="s">
        <v>8</v>
      </c>
      <c r="FH17" s="35">
        <f t="shared" si="122"/>
        <v>0.84643385017369044</v>
      </c>
      <c r="FI17" s="33">
        <f t="shared" si="123"/>
        <v>-5.4124331249703062E-3</v>
      </c>
      <c r="FJ17" s="34">
        <f t="shared" si="124"/>
        <v>0</v>
      </c>
      <c r="FK17" s="80">
        <f t="shared" si="125"/>
        <v>0</v>
      </c>
      <c r="FL17" s="76" t="s">
        <v>8</v>
      </c>
      <c r="FM17" s="30" t="s">
        <v>8</v>
      </c>
      <c r="FN17" s="35">
        <f t="shared" si="126"/>
        <v>0.84643385017369044</v>
      </c>
      <c r="FO17" s="33">
        <f t="shared" si="127"/>
        <v>-5.4124331249703062E-3</v>
      </c>
      <c r="FP17" s="34">
        <f t="shared" si="128"/>
        <v>0</v>
      </c>
      <c r="FQ17" s="80">
        <f t="shared" si="129"/>
        <v>0</v>
      </c>
      <c r="FR17" s="76" t="s">
        <v>8</v>
      </c>
      <c r="FS17" s="30" t="s">
        <v>8</v>
      </c>
      <c r="FT17" s="35">
        <f t="shared" si="130"/>
        <v>0.84643385017369044</v>
      </c>
      <c r="FU17" s="33">
        <f t="shared" si="131"/>
        <v>-5.4124331249703062E-3</v>
      </c>
      <c r="FV17" s="34">
        <f t="shared" si="132"/>
        <v>0</v>
      </c>
      <c r="FW17" s="80">
        <f t="shared" si="133"/>
        <v>0</v>
      </c>
      <c r="FX17" s="76" t="s">
        <v>8</v>
      </c>
      <c r="FY17" s="30" t="s">
        <v>8</v>
      </c>
      <c r="FZ17" s="35">
        <f t="shared" si="134"/>
        <v>0.84643385017369044</v>
      </c>
      <c r="GA17" s="33">
        <f t="shared" si="135"/>
        <v>-5.4124331249703062E-3</v>
      </c>
      <c r="GB17" s="34">
        <f t="shared" si="136"/>
        <v>0</v>
      </c>
      <c r="GC17" s="80">
        <f t="shared" si="137"/>
        <v>0</v>
      </c>
      <c r="GD17" s="76" t="s">
        <v>8</v>
      </c>
      <c r="GE17" s="30" t="s">
        <v>8</v>
      </c>
      <c r="GF17" s="35">
        <f t="shared" si="138"/>
        <v>0.84643385017369044</v>
      </c>
      <c r="GG17" s="33">
        <f t="shared" si="139"/>
        <v>-5.4124331249703062E-3</v>
      </c>
      <c r="GH17" s="34">
        <f t="shared" si="140"/>
        <v>0</v>
      </c>
      <c r="GI17" s="132">
        <f t="shared" si="141"/>
        <v>0</v>
      </c>
      <c r="GJ17" s="223">
        <f t="shared" si="145"/>
        <v>1047836.0769060659</v>
      </c>
      <c r="GK17" s="104">
        <f t="shared" si="146"/>
        <v>1700330.8700282676</v>
      </c>
      <c r="GL17" s="86">
        <f t="shared" si="142"/>
        <v>0.84643385017369033</v>
      </c>
      <c r="GN17" s="214">
        <v>1700330.87</v>
      </c>
    </row>
    <row r="18" spans="1:196" s="25" customFormat="1" ht="30" x14ac:dyDescent="0.25">
      <c r="A18" s="184" t="s">
        <v>182</v>
      </c>
      <c r="B18" s="155" t="s">
        <v>8</v>
      </c>
      <c r="C18" s="155" t="s">
        <v>8</v>
      </c>
      <c r="D18" s="155" t="s">
        <v>8</v>
      </c>
      <c r="E18" s="155" t="s">
        <v>8</v>
      </c>
      <c r="F18" s="155" t="s">
        <v>8</v>
      </c>
      <c r="G18" s="113">
        <f>'Исходные данные 25 г.'!C20</f>
        <v>180</v>
      </c>
      <c r="H18" s="49">
        <f>'Исходные данные 2027г. '!D20</f>
        <v>87060</v>
      </c>
      <c r="I18" s="32">
        <f>'Расчет КРП'!H16</f>
        <v>6.6587348099939305</v>
      </c>
      <c r="J18" s="120" t="s">
        <v>8</v>
      </c>
      <c r="K18" s="124">
        <f t="shared" si="22"/>
        <v>0.11218675470173976</v>
      </c>
      <c r="L18" s="77">
        <f t="shared" si="23"/>
        <v>175035.86104619419</v>
      </c>
      <c r="M18" s="73">
        <f t="shared" si="24"/>
        <v>0.33774045568034289</v>
      </c>
      <c r="N18" s="30" t="s">
        <v>8</v>
      </c>
      <c r="O18" s="33">
        <f t="shared" si="25"/>
        <v>8.8243289251522083E-2</v>
      </c>
      <c r="P18" s="34">
        <f t="shared" si="143"/>
        <v>171328.30118772679</v>
      </c>
      <c r="Q18" s="80">
        <f t="shared" si="26"/>
        <v>171328.30118772679</v>
      </c>
      <c r="R18" s="160" t="s">
        <v>8</v>
      </c>
      <c r="S18" s="30" t="s">
        <v>8</v>
      </c>
      <c r="T18" s="35">
        <f t="shared" si="27"/>
        <v>0.55851654227364977</v>
      </c>
      <c r="U18" s="33">
        <f t="shared" si="28"/>
        <v>5.1262888693989872E-2</v>
      </c>
      <c r="V18" s="53">
        <f t="shared" si="29"/>
        <v>121246.21914200966</v>
      </c>
      <c r="W18" s="80">
        <f t="shared" si="30"/>
        <v>121246.21914200966</v>
      </c>
      <c r="X18" s="76" t="s">
        <v>8</v>
      </c>
      <c r="Y18" s="30" t="s">
        <v>8</v>
      </c>
      <c r="Z18" s="35">
        <f t="shared" si="31"/>
        <v>0.71475614536804455</v>
      </c>
      <c r="AA18" s="33">
        <f t="shared" si="32"/>
        <v>3.2812575519965748E-2</v>
      </c>
      <c r="AB18" s="53">
        <f t="shared" si="33"/>
        <v>91446.597780756434</v>
      </c>
      <c r="AC18" s="80">
        <f t="shared" si="34"/>
        <v>59588.837929295973</v>
      </c>
      <c r="AD18" s="76" t="s">
        <v>8</v>
      </c>
      <c r="AE18" s="30" t="s">
        <v>8</v>
      </c>
      <c r="AF18" s="35">
        <f t="shared" si="35"/>
        <v>0.79154316976197592</v>
      </c>
      <c r="AG18" s="33">
        <f t="shared" si="36"/>
        <v>4.9478247286744215E-2</v>
      </c>
      <c r="AH18" s="53">
        <f t="shared" si="37"/>
        <v>147203.56659462044</v>
      </c>
      <c r="AI18" s="80">
        <f t="shared" si="38"/>
        <v>0</v>
      </c>
      <c r="AJ18" s="76" t="s">
        <v>8</v>
      </c>
      <c r="AK18" s="30" t="s">
        <v>8</v>
      </c>
      <c r="AL18" s="35">
        <f t="shared" si="39"/>
        <v>0.79154316976197592</v>
      </c>
      <c r="AM18" s="33">
        <f t="shared" si="40"/>
        <v>4.9478247286744215E-2</v>
      </c>
      <c r="AN18" s="53">
        <f t="shared" si="41"/>
        <v>147203.56659462044</v>
      </c>
      <c r="AO18" s="80">
        <f t="shared" si="42"/>
        <v>0</v>
      </c>
      <c r="AP18" s="76" t="s">
        <v>8</v>
      </c>
      <c r="AQ18" s="30" t="s">
        <v>8</v>
      </c>
      <c r="AR18" s="35">
        <f t="shared" si="43"/>
        <v>0.79154316976197592</v>
      </c>
      <c r="AS18" s="33">
        <f t="shared" si="44"/>
        <v>4.9478247286744215E-2</v>
      </c>
      <c r="AT18" s="53">
        <f t="shared" si="45"/>
        <v>147203.56659462044</v>
      </c>
      <c r="AU18" s="80">
        <f t="shared" si="46"/>
        <v>0</v>
      </c>
      <c r="AV18" s="76" t="s">
        <v>8</v>
      </c>
      <c r="AW18" s="30" t="s">
        <v>8</v>
      </c>
      <c r="AX18" s="35">
        <f t="shared" si="47"/>
        <v>0.79154316976197592</v>
      </c>
      <c r="AY18" s="33">
        <f t="shared" si="48"/>
        <v>4.9478247286744215E-2</v>
      </c>
      <c r="AZ18" s="53">
        <f t="shared" si="49"/>
        <v>147203.56659462044</v>
      </c>
      <c r="BA18" s="80">
        <f t="shared" si="50"/>
        <v>0</v>
      </c>
      <c r="BB18" s="76" t="s">
        <v>8</v>
      </c>
      <c r="BC18" s="30" t="s">
        <v>8</v>
      </c>
      <c r="BD18" s="35">
        <f t="shared" si="51"/>
        <v>0.79154316976197592</v>
      </c>
      <c r="BE18" s="33">
        <f t="shared" si="52"/>
        <v>4.9478247286744215E-2</v>
      </c>
      <c r="BF18" s="53">
        <f t="shared" si="53"/>
        <v>147203.56659462044</v>
      </c>
      <c r="BG18" s="80">
        <f t="shared" si="54"/>
        <v>0</v>
      </c>
      <c r="BH18" s="76" t="s">
        <v>8</v>
      </c>
      <c r="BI18" s="30" t="s">
        <v>8</v>
      </c>
      <c r="BJ18" s="35">
        <f t="shared" si="55"/>
        <v>0.79154316976197592</v>
      </c>
      <c r="BK18" s="33">
        <f t="shared" si="56"/>
        <v>4.9478247286744215E-2</v>
      </c>
      <c r="BL18" s="53">
        <f t="shared" si="57"/>
        <v>147203.56659462044</v>
      </c>
      <c r="BM18" s="80">
        <f t="shared" si="58"/>
        <v>0</v>
      </c>
      <c r="BN18" s="76" t="s">
        <v>8</v>
      </c>
      <c r="BO18" s="30" t="s">
        <v>8</v>
      </c>
      <c r="BP18" s="35">
        <f t="shared" si="59"/>
        <v>0.79154316976197592</v>
      </c>
      <c r="BQ18" s="33">
        <f t="shared" si="60"/>
        <v>4.9478247286744215E-2</v>
      </c>
      <c r="BR18" s="53">
        <f t="shared" si="61"/>
        <v>147203.56659462044</v>
      </c>
      <c r="BS18" s="132">
        <f t="shared" si="62"/>
        <v>0</v>
      </c>
      <c r="BT18" s="76" t="s">
        <v>8</v>
      </c>
      <c r="BU18" s="30" t="s">
        <v>8</v>
      </c>
      <c r="BV18" s="35">
        <f t="shared" si="63"/>
        <v>0.79154316976197592</v>
      </c>
      <c r="BW18" s="33">
        <f t="shared" si="64"/>
        <v>4.9478247286744215E-2</v>
      </c>
      <c r="BX18" s="53">
        <f t="shared" si="65"/>
        <v>147203.56659462044</v>
      </c>
      <c r="BY18" s="132">
        <f t="shared" si="66"/>
        <v>0</v>
      </c>
      <c r="BZ18" s="76" t="s">
        <v>8</v>
      </c>
      <c r="CA18" s="30" t="s">
        <v>8</v>
      </c>
      <c r="CB18" s="35">
        <f t="shared" si="67"/>
        <v>0.79154316976197592</v>
      </c>
      <c r="CC18" s="33">
        <f t="shared" si="68"/>
        <v>4.9478247286744215E-2</v>
      </c>
      <c r="CD18" s="53">
        <f t="shared" si="69"/>
        <v>147203.56659462044</v>
      </c>
      <c r="CE18" s="132">
        <f t="shared" si="70"/>
        <v>0</v>
      </c>
      <c r="CF18" s="76" t="s">
        <v>8</v>
      </c>
      <c r="CG18" s="30" t="s">
        <v>8</v>
      </c>
      <c r="CH18" s="35">
        <f t="shared" si="71"/>
        <v>0.79154316976197592</v>
      </c>
      <c r="CI18" s="33">
        <f t="shared" si="72"/>
        <v>4.9478247286744215E-2</v>
      </c>
      <c r="CJ18" s="53">
        <f t="shared" si="73"/>
        <v>147203.56659462044</v>
      </c>
      <c r="CK18" s="132">
        <f t="shared" si="74"/>
        <v>0</v>
      </c>
      <c r="CL18" s="76" t="s">
        <v>8</v>
      </c>
      <c r="CM18" s="30" t="s">
        <v>8</v>
      </c>
      <c r="CN18" s="35">
        <f t="shared" si="75"/>
        <v>0.79154316976197592</v>
      </c>
      <c r="CO18" s="33">
        <f t="shared" si="76"/>
        <v>4.9478247286744215E-2</v>
      </c>
      <c r="CP18" s="53">
        <f t="shared" si="77"/>
        <v>147203.56659462044</v>
      </c>
      <c r="CQ18" s="132">
        <f t="shared" si="78"/>
        <v>0</v>
      </c>
      <c r="CR18" s="76" t="s">
        <v>8</v>
      </c>
      <c r="CS18" s="30" t="s">
        <v>8</v>
      </c>
      <c r="CT18" s="35">
        <f t="shared" si="79"/>
        <v>0.79154316976197592</v>
      </c>
      <c r="CU18" s="33">
        <f t="shared" si="80"/>
        <v>4.9478247286744215E-2</v>
      </c>
      <c r="CV18" s="53">
        <f t="shared" si="81"/>
        <v>147203.56659462044</v>
      </c>
      <c r="CW18" s="132">
        <f t="shared" si="82"/>
        <v>0</v>
      </c>
      <c r="CX18" s="76" t="s">
        <v>8</v>
      </c>
      <c r="CY18" s="30" t="s">
        <v>8</v>
      </c>
      <c r="CZ18" s="35">
        <f t="shared" si="83"/>
        <v>0.79154316976197592</v>
      </c>
      <c r="DA18" s="33">
        <f t="shared" si="84"/>
        <v>4.9478247286744215E-2</v>
      </c>
      <c r="DB18" s="53">
        <f t="shared" si="85"/>
        <v>147203.56659462044</v>
      </c>
      <c r="DC18" s="132">
        <f t="shared" si="86"/>
        <v>0</v>
      </c>
      <c r="DD18" s="76" t="s">
        <v>8</v>
      </c>
      <c r="DE18" s="30" t="s">
        <v>8</v>
      </c>
      <c r="DF18" s="35">
        <f t="shared" si="87"/>
        <v>0.79154316976197592</v>
      </c>
      <c r="DG18" s="33">
        <f t="shared" si="88"/>
        <v>4.9478247286744215E-2</v>
      </c>
      <c r="DH18" s="53">
        <f t="shared" si="89"/>
        <v>147203.56659462044</v>
      </c>
      <c r="DI18" s="132">
        <f t="shared" si="90"/>
        <v>0</v>
      </c>
      <c r="DJ18" s="76" t="s">
        <v>8</v>
      </c>
      <c r="DK18" s="30" t="s">
        <v>8</v>
      </c>
      <c r="DL18" s="35">
        <f t="shared" si="91"/>
        <v>0.79154316976197592</v>
      </c>
      <c r="DM18" s="51">
        <f t="shared" si="92"/>
        <v>4.9478247286744215E-2</v>
      </c>
      <c r="DN18" s="53">
        <f t="shared" si="93"/>
        <v>147203.56659462044</v>
      </c>
      <c r="DO18" s="132">
        <f t="shared" si="94"/>
        <v>0</v>
      </c>
      <c r="DP18" s="76" t="s">
        <v>8</v>
      </c>
      <c r="DQ18" s="30" t="s">
        <v>8</v>
      </c>
      <c r="DR18" s="35">
        <f t="shared" si="95"/>
        <v>0.79154316976197592</v>
      </c>
      <c r="DS18" s="51">
        <f t="shared" si="96"/>
        <v>4.9478247286744215E-2</v>
      </c>
      <c r="DT18" s="53">
        <f t="shared" si="144"/>
        <v>147203.56659462044</v>
      </c>
      <c r="DU18" s="132">
        <f t="shared" si="97"/>
        <v>0</v>
      </c>
      <c r="DV18" s="76" t="s">
        <v>8</v>
      </c>
      <c r="DW18" s="30" t="s">
        <v>8</v>
      </c>
      <c r="DX18" s="35">
        <f t="shared" si="98"/>
        <v>0.79154316976197592</v>
      </c>
      <c r="DY18" s="33">
        <f t="shared" si="99"/>
        <v>4.9478247286744215E-2</v>
      </c>
      <c r="DZ18" s="34">
        <f t="shared" si="100"/>
        <v>147203.56659462044</v>
      </c>
      <c r="EA18" s="80">
        <f t="shared" si="101"/>
        <v>0</v>
      </c>
      <c r="EB18" s="76" t="s">
        <v>8</v>
      </c>
      <c r="EC18" s="30" t="s">
        <v>8</v>
      </c>
      <c r="ED18" s="35">
        <f t="shared" si="102"/>
        <v>0.79154316976197592</v>
      </c>
      <c r="EE18" s="33">
        <f t="shared" si="103"/>
        <v>4.9478247286744215E-2</v>
      </c>
      <c r="EF18" s="34">
        <f t="shared" si="104"/>
        <v>147203.56659462044</v>
      </c>
      <c r="EG18" s="80">
        <f t="shared" si="105"/>
        <v>0</v>
      </c>
      <c r="EH18" s="76" t="s">
        <v>8</v>
      </c>
      <c r="EI18" s="30" t="s">
        <v>8</v>
      </c>
      <c r="EJ18" s="35">
        <f t="shared" si="106"/>
        <v>0.79154316976197592</v>
      </c>
      <c r="EK18" s="33">
        <f t="shared" si="107"/>
        <v>4.9478247286744215E-2</v>
      </c>
      <c r="EL18" s="34">
        <f t="shared" si="108"/>
        <v>147203.56659462044</v>
      </c>
      <c r="EM18" s="80">
        <f t="shared" si="109"/>
        <v>0</v>
      </c>
      <c r="EN18" s="76" t="s">
        <v>8</v>
      </c>
      <c r="EO18" s="30" t="s">
        <v>8</v>
      </c>
      <c r="EP18" s="35">
        <f t="shared" si="110"/>
        <v>0.79154316976197592</v>
      </c>
      <c r="EQ18" s="51">
        <f t="shared" si="111"/>
        <v>4.9478247286744215E-2</v>
      </c>
      <c r="ER18" s="34">
        <f t="shared" si="112"/>
        <v>147203.56659462044</v>
      </c>
      <c r="ES18" s="80">
        <f t="shared" si="113"/>
        <v>0</v>
      </c>
      <c r="ET18" s="76" t="s">
        <v>8</v>
      </c>
      <c r="EU18" s="30" t="s">
        <v>8</v>
      </c>
      <c r="EV18" s="35">
        <f t="shared" si="114"/>
        <v>0.79154316976197592</v>
      </c>
      <c r="EW18" s="33">
        <f t="shared" si="115"/>
        <v>4.9478247286744215E-2</v>
      </c>
      <c r="EX18" s="34">
        <f t="shared" si="116"/>
        <v>147203.56659462044</v>
      </c>
      <c r="EY18" s="80">
        <f t="shared" si="117"/>
        <v>0</v>
      </c>
      <c r="EZ18" s="76" t="s">
        <v>8</v>
      </c>
      <c r="FA18" s="30" t="s">
        <v>8</v>
      </c>
      <c r="FB18" s="35">
        <f t="shared" si="118"/>
        <v>0.79154316976197592</v>
      </c>
      <c r="FC18" s="33">
        <f t="shared" si="119"/>
        <v>4.9478247286744215E-2</v>
      </c>
      <c r="FD18" s="34">
        <f t="shared" si="120"/>
        <v>147203.56659462044</v>
      </c>
      <c r="FE18" s="80">
        <f t="shared" si="121"/>
        <v>0</v>
      </c>
      <c r="FF18" s="76" t="s">
        <v>8</v>
      </c>
      <c r="FG18" s="30" t="s">
        <v>8</v>
      </c>
      <c r="FH18" s="35">
        <f t="shared" si="122"/>
        <v>0.79154316976197592</v>
      </c>
      <c r="FI18" s="33">
        <f t="shared" si="123"/>
        <v>4.9478247286744215E-2</v>
      </c>
      <c r="FJ18" s="34">
        <f t="shared" si="124"/>
        <v>147203.56659462044</v>
      </c>
      <c r="FK18" s="80">
        <f t="shared" si="125"/>
        <v>0</v>
      </c>
      <c r="FL18" s="76" t="s">
        <v>8</v>
      </c>
      <c r="FM18" s="30" t="s">
        <v>8</v>
      </c>
      <c r="FN18" s="35">
        <f t="shared" si="126"/>
        <v>0.79154316976197592</v>
      </c>
      <c r="FO18" s="33">
        <f t="shared" si="127"/>
        <v>4.9478247286744215E-2</v>
      </c>
      <c r="FP18" s="34">
        <f t="shared" si="128"/>
        <v>147203.56659462044</v>
      </c>
      <c r="FQ18" s="80">
        <f t="shared" si="129"/>
        <v>0</v>
      </c>
      <c r="FR18" s="76" t="s">
        <v>8</v>
      </c>
      <c r="FS18" s="30" t="s">
        <v>8</v>
      </c>
      <c r="FT18" s="35">
        <f t="shared" si="130"/>
        <v>0.79154316976197592</v>
      </c>
      <c r="FU18" s="33">
        <f t="shared" si="131"/>
        <v>4.9478247286744215E-2</v>
      </c>
      <c r="FV18" s="34">
        <f t="shared" si="132"/>
        <v>147203.56659462044</v>
      </c>
      <c r="FW18" s="80">
        <f t="shared" si="133"/>
        <v>0</v>
      </c>
      <c r="FX18" s="76" t="s">
        <v>8</v>
      </c>
      <c r="FY18" s="30" t="s">
        <v>8</v>
      </c>
      <c r="FZ18" s="35">
        <f t="shared" si="134"/>
        <v>0.79154316976197592</v>
      </c>
      <c r="GA18" s="33">
        <f t="shared" si="135"/>
        <v>4.9478247286744215E-2</v>
      </c>
      <c r="GB18" s="34">
        <f t="shared" si="136"/>
        <v>147203.56659462044</v>
      </c>
      <c r="GC18" s="80">
        <f t="shared" si="137"/>
        <v>0</v>
      </c>
      <c r="GD18" s="76" t="s">
        <v>8</v>
      </c>
      <c r="GE18" s="30" t="s">
        <v>8</v>
      </c>
      <c r="GF18" s="35">
        <f t="shared" si="138"/>
        <v>0.79154316976197592</v>
      </c>
      <c r="GG18" s="33">
        <f t="shared" si="139"/>
        <v>4.9478247286744215E-2</v>
      </c>
      <c r="GH18" s="34">
        <f t="shared" si="140"/>
        <v>147203.56659462044</v>
      </c>
      <c r="GI18" s="132">
        <f t="shared" si="141"/>
        <v>0</v>
      </c>
      <c r="GJ18" s="223">
        <f t="shared" si="145"/>
        <v>352163.35825903242</v>
      </c>
      <c r="GK18" s="104">
        <f t="shared" si="146"/>
        <v>527199.21930522658</v>
      </c>
      <c r="GL18" s="86">
        <f t="shared" si="142"/>
        <v>0.79154316976197592</v>
      </c>
      <c r="GN18" s="214">
        <v>527199.22</v>
      </c>
    </row>
    <row r="19" spans="1:196" s="25" customFormat="1" ht="30" x14ac:dyDescent="0.25">
      <c r="A19" s="184" t="s">
        <v>183</v>
      </c>
      <c r="B19" s="155" t="s">
        <v>8</v>
      </c>
      <c r="C19" s="155" t="s">
        <v>8</v>
      </c>
      <c r="D19" s="155" t="s">
        <v>8</v>
      </c>
      <c r="E19" s="155" t="s">
        <v>8</v>
      </c>
      <c r="F19" s="155" t="s">
        <v>8</v>
      </c>
      <c r="G19" s="113">
        <f>'Исходные данные 25 г.'!C21</f>
        <v>4810</v>
      </c>
      <c r="H19" s="49">
        <f>'Исходные данные 2027г. '!D21</f>
        <v>4269090</v>
      </c>
      <c r="I19" s="32">
        <f>'Расчет КРП'!H17</f>
        <v>3.6657593688362917</v>
      </c>
      <c r="J19" s="120" t="s">
        <v>8</v>
      </c>
      <c r="K19" s="124">
        <f t="shared" si="22"/>
        <v>0.37394990520634735</v>
      </c>
      <c r="L19" s="77">
        <f t="shared" si="23"/>
        <v>4677347.175734411</v>
      </c>
      <c r="M19" s="73">
        <f t="shared" si="24"/>
        <v>0.78366099890150487</v>
      </c>
      <c r="N19" s="30" t="s">
        <v>8</v>
      </c>
      <c r="O19" s="33">
        <f t="shared" si="25"/>
        <v>-0.3576772539696399</v>
      </c>
      <c r="P19" s="34">
        <f t="shared" si="143"/>
        <v>0</v>
      </c>
      <c r="Q19" s="80">
        <f t="shared" si="26"/>
        <v>0</v>
      </c>
      <c r="R19" s="160" t="s">
        <v>8</v>
      </c>
      <c r="S19" s="30" t="s">
        <v>8</v>
      </c>
      <c r="T19" s="35">
        <f t="shared" si="27"/>
        <v>0.78366099890150487</v>
      </c>
      <c r="U19" s="33">
        <f t="shared" si="28"/>
        <v>-0.17388156793386522</v>
      </c>
      <c r="V19" s="53">
        <f t="shared" si="29"/>
        <v>0</v>
      </c>
      <c r="W19" s="80">
        <f t="shared" si="30"/>
        <v>0</v>
      </c>
      <c r="X19" s="76" t="s">
        <v>8</v>
      </c>
      <c r="Y19" s="30" t="s">
        <v>8</v>
      </c>
      <c r="Z19" s="35">
        <f t="shared" si="31"/>
        <v>0.78366099890150487</v>
      </c>
      <c r="AA19" s="33">
        <f t="shared" si="32"/>
        <v>-3.6092278013494572E-2</v>
      </c>
      <c r="AB19" s="53">
        <f t="shared" si="33"/>
        <v>0</v>
      </c>
      <c r="AC19" s="80">
        <f t="shared" si="34"/>
        <v>0</v>
      </c>
      <c r="AD19" s="76" t="s">
        <v>8</v>
      </c>
      <c r="AE19" s="30" t="s">
        <v>8</v>
      </c>
      <c r="AF19" s="35">
        <f t="shared" si="35"/>
        <v>0.78366099890150487</v>
      </c>
      <c r="AG19" s="33">
        <f t="shared" si="36"/>
        <v>5.7360418147215264E-2</v>
      </c>
      <c r="AH19" s="53">
        <f t="shared" si="37"/>
        <v>2510505.2841908466</v>
      </c>
      <c r="AI19" s="80">
        <f t="shared" si="38"/>
        <v>0</v>
      </c>
      <c r="AJ19" s="76" t="s">
        <v>8</v>
      </c>
      <c r="AK19" s="30" t="s">
        <v>8</v>
      </c>
      <c r="AL19" s="35">
        <f t="shared" si="39"/>
        <v>0.78366099890150487</v>
      </c>
      <c r="AM19" s="33">
        <f t="shared" si="40"/>
        <v>5.7360418147215264E-2</v>
      </c>
      <c r="AN19" s="53">
        <f t="shared" si="41"/>
        <v>2510505.2841908466</v>
      </c>
      <c r="AO19" s="80">
        <f t="shared" si="42"/>
        <v>0</v>
      </c>
      <c r="AP19" s="76" t="s">
        <v>8</v>
      </c>
      <c r="AQ19" s="30" t="s">
        <v>8</v>
      </c>
      <c r="AR19" s="35">
        <f t="shared" si="43"/>
        <v>0.78366099890150487</v>
      </c>
      <c r="AS19" s="33">
        <f t="shared" si="44"/>
        <v>5.7360418147215264E-2</v>
      </c>
      <c r="AT19" s="53">
        <f t="shared" si="45"/>
        <v>2510505.2841908466</v>
      </c>
      <c r="AU19" s="80">
        <f t="shared" si="46"/>
        <v>0</v>
      </c>
      <c r="AV19" s="76" t="s">
        <v>8</v>
      </c>
      <c r="AW19" s="30" t="s">
        <v>8</v>
      </c>
      <c r="AX19" s="35">
        <f t="shared" si="47"/>
        <v>0.78366099890150487</v>
      </c>
      <c r="AY19" s="33">
        <f t="shared" si="48"/>
        <v>5.7360418147215264E-2</v>
      </c>
      <c r="AZ19" s="53">
        <f t="shared" si="49"/>
        <v>2510505.2841908466</v>
      </c>
      <c r="BA19" s="80">
        <f t="shared" si="50"/>
        <v>0</v>
      </c>
      <c r="BB19" s="76" t="s">
        <v>8</v>
      </c>
      <c r="BC19" s="30" t="s">
        <v>8</v>
      </c>
      <c r="BD19" s="35">
        <f t="shared" si="51"/>
        <v>0.78366099890150487</v>
      </c>
      <c r="BE19" s="33">
        <f t="shared" si="52"/>
        <v>5.7360418147215264E-2</v>
      </c>
      <c r="BF19" s="53">
        <f t="shared" si="53"/>
        <v>2510505.2841908466</v>
      </c>
      <c r="BG19" s="80">
        <f t="shared" si="54"/>
        <v>0</v>
      </c>
      <c r="BH19" s="76" t="s">
        <v>8</v>
      </c>
      <c r="BI19" s="30" t="s">
        <v>8</v>
      </c>
      <c r="BJ19" s="35">
        <f t="shared" si="55"/>
        <v>0.78366099890150487</v>
      </c>
      <c r="BK19" s="33">
        <f t="shared" si="56"/>
        <v>5.7360418147215264E-2</v>
      </c>
      <c r="BL19" s="53">
        <f t="shared" si="57"/>
        <v>2510505.2841908466</v>
      </c>
      <c r="BM19" s="80">
        <f t="shared" si="58"/>
        <v>0</v>
      </c>
      <c r="BN19" s="76" t="s">
        <v>8</v>
      </c>
      <c r="BO19" s="30" t="s">
        <v>8</v>
      </c>
      <c r="BP19" s="35">
        <f t="shared" si="59"/>
        <v>0.78366099890150487</v>
      </c>
      <c r="BQ19" s="33">
        <f t="shared" si="60"/>
        <v>5.7360418147215264E-2</v>
      </c>
      <c r="BR19" s="53">
        <f t="shared" si="61"/>
        <v>2510505.2841908466</v>
      </c>
      <c r="BS19" s="132">
        <f t="shared" si="62"/>
        <v>0</v>
      </c>
      <c r="BT19" s="76" t="s">
        <v>8</v>
      </c>
      <c r="BU19" s="30" t="s">
        <v>8</v>
      </c>
      <c r="BV19" s="35">
        <f t="shared" si="63"/>
        <v>0.78366099890150487</v>
      </c>
      <c r="BW19" s="33">
        <f t="shared" si="64"/>
        <v>5.7360418147215264E-2</v>
      </c>
      <c r="BX19" s="53">
        <f t="shared" si="65"/>
        <v>2510505.2841908466</v>
      </c>
      <c r="BY19" s="132">
        <f t="shared" si="66"/>
        <v>0</v>
      </c>
      <c r="BZ19" s="76" t="s">
        <v>8</v>
      </c>
      <c r="CA19" s="30" t="s">
        <v>8</v>
      </c>
      <c r="CB19" s="35">
        <f t="shared" si="67"/>
        <v>0.78366099890150487</v>
      </c>
      <c r="CC19" s="33">
        <f t="shared" si="68"/>
        <v>5.7360418147215264E-2</v>
      </c>
      <c r="CD19" s="53">
        <f t="shared" si="69"/>
        <v>2510505.2841908466</v>
      </c>
      <c r="CE19" s="132">
        <f t="shared" si="70"/>
        <v>0</v>
      </c>
      <c r="CF19" s="76" t="s">
        <v>8</v>
      </c>
      <c r="CG19" s="30" t="s">
        <v>8</v>
      </c>
      <c r="CH19" s="35">
        <f t="shared" si="71"/>
        <v>0.78366099890150487</v>
      </c>
      <c r="CI19" s="33">
        <f t="shared" si="72"/>
        <v>5.7360418147215264E-2</v>
      </c>
      <c r="CJ19" s="53">
        <f t="shared" si="73"/>
        <v>2510505.2841908466</v>
      </c>
      <c r="CK19" s="132">
        <f t="shared" si="74"/>
        <v>0</v>
      </c>
      <c r="CL19" s="76" t="s">
        <v>8</v>
      </c>
      <c r="CM19" s="30" t="s">
        <v>8</v>
      </c>
      <c r="CN19" s="35">
        <f t="shared" si="75"/>
        <v>0.78366099890150487</v>
      </c>
      <c r="CO19" s="33">
        <f t="shared" si="76"/>
        <v>5.7360418147215264E-2</v>
      </c>
      <c r="CP19" s="53">
        <f t="shared" si="77"/>
        <v>2510505.2841908466</v>
      </c>
      <c r="CQ19" s="132">
        <f t="shared" si="78"/>
        <v>0</v>
      </c>
      <c r="CR19" s="76" t="s">
        <v>8</v>
      </c>
      <c r="CS19" s="30" t="s">
        <v>8</v>
      </c>
      <c r="CT19" s="35">
        <f t="shared" si="79"/>
        <v>0.78366099890150487</v>
      </c>
      <c r="CU19" s="33">
        <f t="shared" si="80"/>
        <v>5.7360418147215264E-2</v>
      </c>
      <c r="CV19" s="53">
        <f t="shared" si="81"/>
        <v>2510505.2841908466</v>
      </c>
      <c r="CW19" s="132">
        <f t="shared" si="82"/>
        <v>0</v>
      </c>
      <c r="CX19" s="76" t="s">
        <v>8</v>
      </c>
      <c r="CY19" s="30" t="s">
        <v>8</v>
      </c>
      <c r="CZ19" s="35">
        <f t="shared" si="83"/>
        <v>0.78366099890150487</v>
      </c>
      <c r="DA19" s="33">
        <f t="shared" si="84"/>
        <v>5.7360418147215264E-2</v>
      </c>
      <c r="DB19" s="53">
        <f t="shared" si="85"/>
        <v>2510505.2841908466</v>
      </c>
      <c r="DC19" s="132">
        <f t="shared" si="86"/>
        <v>0</v>
      </c>
      <c r="DD19" s="76" t="s">
        <v>8</v>
      </c>
      <c r="DE19" s="30" t="s">
        <v>8</v>
      </c>
      <c r="DF19" s="35">
        <f t="shared" si="87"/>
        <v>0.78366099890150487</v>
      </c>
      <c r="DG19" s="33">
        <f t="shared" si="88"/>
        <v>5.7360418147215264E-2</v>
      </c>
      <c r="DH19" s="53">
        <f t="shared" si="89"/>
        <v>2510505.2841908466</v>
      </c>
      <c r="DI19" s="132">
        <f t="shared" si="90"/>
        <v>0</v>
      </c>
      <c r="DJ19" s="76" t="s">
        <v>8</v>
      </c>
      <c r="DK19" s="30" t="s">
        <v>8</v>
      </c>
      <c r="DL19" s="35">
        <f t="shared" si="91"/>
        <v>0.78366099890150487</v>
      </c>
      <c r="DM19" s="51">
        <f t="shared" si="92"/>
        <v>5.7360418147215264E-2</v>
      </c>
      <c r="DN19" s="53">
        <f t="shared" si="93"/>
        <v>2510505.2841908466</v>
      </c>
      <c r="DO19" s="132">
        <f t="shared" si="94"/>
        <v>0</v>
      </c>
      <c r="DP19" s="76" t="s">
        <v>8</v>
      </c>
      <c r="DQ19" s="30" t="s">
        <v>8</v>
      </c>
      <c r="DR19" s="35">
        <f t="shared" si="95"/>
        <v>0.78366099890150487</v>
      </c>
      <c r="DS19" s="51">
        <f t="shared" si="96"/>
        <v>5.7360418147215264E-2</v>
      </c>
      <c r="DT19" s="53">
        <f t="shared" si="144"/>
        <v>2510505.2841908466</v>
      </c>
      <c r="DU19" s="132">
        <f t="shared" si="97"/>
        <v>0</v>
      </c>
      <c r="DV19" s="76" t="s">
        <v>8</v>
      </c>
      <c r="DW19" s="30" t="s">
        <v>8</v>
      </c>
      <c r="DX19" s="35">
        <f t="shared" si="98"/>
        <v>0.78366099890150487</v>
      </c>
      <c r="DY19" s="33">
        <f t="shared" si="99"/>
        <v>5.7360418147215264E-2</v>
      </c>
      <c r="DZ19" s="34">
        <f t="shared" si="100"/>
        <v>2510505.2841908466</v>
      </c>
      <c r="EA19" s="80">
        <f t="shared" si="101"/>
        <v>0</v>
      </c>
      <c r="EB19" s="76" t="s">
        <v>8</v>
      </c>
      <c r="EC19" s="30" t="s">
        <v>8</v>
      </c>
      <c r="ED19" s="35">
        <f t="shared" si="102"/>
        <v>0.78366099890150487</v>
      </c>
      <c r="EE19" s="33">
        <f t="shared" si="103"/>
        <v>5.7360418147215264E-2</v>
      </c>
      <c r="EF19" s="34">
        <f t="shared" si="104"/>
        <v>2510505.2841908466</v>
      </c>
      <c r="EG19" s="80">
        <f t="shared" si="105"/>
        <v>0</v>
      </c>
      <c r="EH19" s="76" t="s">
        <v>8</v>
      </c>
      <c r="EI19" s="30" t="s">
        <v>8</v>
      </c>
      <c r="EJ19" s="35">
        <f t="shared" si="106"/>
        <v>0.78366099890150487</v>
      </c>
      <c r="EK19" s="33">
        <f t="shared" si="107"/>
        <v>5.7360418147215264E-2</v>
      </c>
      <c r="EL19" s="34">
        <f t="shared" si="108"/>
        <v>2510505.2841908466</v>
      </c>
      <c r="EM19" s="80">
        <f t="shared" si="109"/>
        <v>0</v>
      </c>
      <c r="EN19" s="76" t="s">
        <v>8</v>
      </c>
      <c r="EO19" s="30" t="s">
        <v>8</v>
      </c>
      <c r="EP19" s="35">
        <f t="shared" si="110"/>
        <v>0.78366099890150487</v>
      </c>
      <c r="EQ19" s="51">
        <f t="shared" si="111"/>
        <v>5.7360418147215264E-2</v>
      </c>
      <c r="ER19" s="34">
        <f t="shared" si="112"/>
        <v>2510505.2841908466</v>
      </c>
      <c r="ES19" s="80">
        <f t="shared" si="113"/>
        <v>0</v>
      </c>
      <c r="ET19" s="76" t="s">
        <v>8</v>
      </c>
      <c r="EU19" s="30" t="s">
        <v>8</v>
      </c>
      <c r="EV19" s="35">
        <f t="shared" si="114"/>
        <v>0.78366099890150487</v>
      </c>
      <c r="EW19" s="33">
        <f t="shared" si="115"/>
        <v>5.7360418147215264E-2</v>
      </c>
      <c r="EX19" s="34">
        <f t="shared" si="116"/>
        <v>2510505.2841908466</v>
      </c>
      <c r="EY19" s="80">
        <f t="shared" si="117"/>
        <v>0</v>
      </c>
      <c r="EZ19" s="76" t="s">
        <v>8</v>
      </c>
      <c r="FA19" s="30" t="s">
        <v>8</v>
      </c>
      <c r="FB19" s="35">
        <f t="shared" si="118"/>
        <v>0.78366099890150487</v>
      </c>
      <c r="FC19" s="33">
        <f t="shared" si="119"/>
        <v>5.7360418147215264E-2</v>
      </c>
      <c r="FD19" s="34">
        <f t="shared" si="120"/>
        <v>2510505.2841908466</v>
      </c>
      <c r="FE19" s="80">
        <f t="shared" si="121"/>
        <v>0</v>
      </c>
      <c r="FF19" s="76" t="s">
        <v>8</v>
      </c>
      <c r="FG19" s="30" t="s">
        <v>8</v>
      </c>
      <c r="FH19" s="35">
        <f t="shared" si="122"/>
        <v>0.78366099890150487</v>
      </c>
      <c r="FI19" s="33">
        <f t="shared" si="123"/>
        <v>5.7360418147215264E-2</v>
      </c>
      <c r="FJ19" s="34">
        <f t="shared" si="124"/>
        <v>2510505.2841908466</v>
      </c>
      <c r="FK19" s="80">
        <f t="shared" si="125"/>
        <v>0</v>
      </c>
      <c r="FL19" s="76" t="s">
        <v>8</v>
      </c>
      <c r="FM19" s="30" t="s">
        <v>8</v>
      </c>
      <c r="FN19" s="35">
        <f t="shared" si="126"/>
        <v>0.78366099890150487</v>
      </c>
      <c r="FO19" s="33">
        <f t="shared" si="127"/>
        <v>5.7360418147215264E-2</v>
      </c>
      <c r="FP19" s="34">
        <f t="shared" si="128"/>
        <v>2510505.2841908466</v>
      </c>
      <c r="FQ19" s="80">
        <f t="shared" si="129"/>
        <v>0</v>
      </c>
      <c r="FR19" s="76" t="s">
        <v>8</v>
      </c>
      <c r="FS19" s="30" t="s">
        <v>8</v>
      </c>
      <c r="FT19" s="35">
        <f t="shared" si="130"/>
        <v>0.78366099890150487</v>
      </c>
      <c r="FU19" s="33">
        <f t="shared" si="131"/>
        <v>5.7360418147215264E-2</v>
      </c>
      <c r="FV19" s="34">
        <f t="shared" si="132"/>
        <v>2510505.2841908466</v>
      </c>
      <c r="FW19" s="80">
        <f t="shared" si="133"/>
        <v>0</v>
      </c>
      <c r="FX19" s="76" t="s">
        <v>8</v>
      </c>
      <c r="FY19" s="30" t="s">
        <v>8</v>
      </c>
      <c r="FZ19" s="35">
        <f t="shared" si="134"/>
        <v>0.78366099890150487</v>
      </c>
      <c r="GA19" s="33">
        <f t="shared" si="135"/>
        <v>5.7360418147215264E-2</v>
      </c>
      <c r="GB19" s="34">
        <f t="shared" si="136"/>
        <v>2510505.2841908466</v>
      </c>
      <c r="GC19" s="80">
        <f t="shared" si="137"/>
        <v>0</v>
      </c>
      <c r="GD19" s="76" t="s">
        <v>8</v>
      </c>
      <c r="GE19" s="30" t="s">
        <v>8</v>
      </c>
      <c r="GF19" s="35">
        <f t="shared" si="138"/>
        <v>0.78366099890150487</v>
      </c>
      <c r="GG19" s="33">
        <f t="shared" si="139"/>
        <v>5.7360418147215264E-2</v>
      </c>
      <c r="GH19" s="34">
        <f t="shared" si="140"/>
        <v>2510505.2841908466</v>
      </c>
      <c r="GI19" s="132">
        <f t="shared" si="141"/>
        <v>0</v>
      </c>
      <c r="GJ19" s="223">
        <f t="shared" si="145"/>
        <v>0</v>
      </c>
      <c r="GK19" s="104">
        <f t="shared" si="146"/>
        <v>4677347.175734411</v>
      </c>
      <c r="GL19" s="86">
        <f t="shared" si="142"/>
        <v>0.78366099890150465</v>
      </c>
      <c r="GN19" s="214">
        <v>4677347.18</v>
      </c>
    </row>
    <row r="20" spans="1:196" s="25" customFormat="1" ht="15.75" customHeight="1" x14ac:dyDescent="0.25">
      <c r="A20" s="184" t="s">
        <v>184</v>
      </c>
      <c r="B20" s="155" t="s">
        <v>8</v>
      </c>
      <c r="C20" s="155" t="s">
        <v>8</v>
      </c>
      <c r="D20" s="155" t="s">
        <v>8</v>
      </c>
      <c r="E20" s="155" t="s">
        <v>8</v>
      </c>
      <c r="F20" s="155" t="s">
        <v>8</v>
      </c>
      <c r="G20" s="113">
        <f>'Исходные данные 25 г.'!C22</f>
        <v>374</v>
      </c>
      <c r="H20" s="49">
        <f>'Исходные данные 2027г. '!D22</f>
        <v>135360</v>
      </c>
      <c r="I20" s="32">
        <f>'Расчет КРП'!H18</f>
        <v>5.6763197575879705</v>
      </c>
      <c r="J20" s="120" t="s">
        <v>8</v>
      </c>
      <c r="K20" s="124">
        <f t="shared" si="22"/>
        <v>9.8477958724732001E-2</v>
      </c>
      <c r="L20" s="77">
        <f t="shared" si="23"/>
        <v>363685.62239598122</v>
      </c>
      <c r="M20" s="73">
        <f t="shared" si="24"/>
        <v>0.36306881060926144</v>
      </c>
      <c r="N20" s="30" t="s">
        <v>8</v>
      </c>
      <c r="O20" s="33">
        <f t="shared" si="25"/>
        <v>6.2914934322603533E-2</v>
      </c>
      <c r="P20" s="34">
        <f t="shared" si="143"/>
        <v>216359.21564543986</v>
      </c>
      <c r="Q20" s="80">
        <f t="shared" si="26"/>
        <v>216359.21564543986</v>
      </c>
      <c r="R20" s="160" t="s">
        <v>8</v>
      </c>
      <c r="S20" s="30" t="s">
        <v>8</v>
      </c>
      <c r="T20" s="35">
        <f t="shared" si="27"/>
        <v>0.52047582825145278</v>
      </c>
      <c r="U20" s="33">
        <f t="shared" si="28"/>
        <v>8.930360271618687E-2</v>
      </c>
      <c r="V20" s="53">
        <f t="shared" si="29"/>
        <v>374117.77196276729</v>
      </c>
      <c r="W20" s="80">
        <f t="shared" si="30"/>
        <v>374117.77196276729</v>
      </c>
      <c r="X20" s="76" t="s">
        <v>8</v>
      </c>
      <c r="Y20" s="30" t="s">
        <v>8</v>
      </c>
      <c r="Z20" s="35">
        <f t="shared" si="31"/>
        <v>0.79265634321553424</v>
      </c>
      <c r="AA20" s="33">
        <f t="shared" si="32"/>
        <v>-4.5087622327523946E-2</v>
      </c>
      <c r="AB20" s="53">
        <f t="shared" si="33"/>
        <v>0</v>
      </c>
      <c r="AC20" s="80">
        <f t="shared" si="34"/>
        <v>0</v>
      </c>
      <c r="AD20" s="76" t="s">
        <v>8</v>
      </c>
      <c r="AE20" s="30" t="s">
        <v>8</v>
      </c>
      <c r="AF20" s="35">
        <f t="shared" si="35"/>
        <v>0.79265634321553424</v>
      </c>
      <c r="AG20" s="33">
        <f t="shared" si="36"/>
        <v>4.836507383318589E-2</v>
      </c>
      <c r="AH20" s="53">
        <f t="shared" si="37"/>
        <v>254864.94841021646</v>
      </c>
      <c r="AI20" s="80">
        <f t="shared" si="38"/>
        <v>0</v>
      </c>
      <c r="AJ20" s="76" t="s">
        <v>8</v>
      </c>
      <c r="AK20" s="30" t="s">
        <v>8</v>
      </c>
      <c r="AL20" s="35">
        <f t="shared" si="39"/>
        <v>0.79265634321553424</v>
      </c>
      <c r="AM20" s="33">
        <f t="shared" si="40"/>
        <v>4.836507383318589E-2</v>
      </c>
      <c r="AN20" s="53">
        <f t="shared" si="41"/>
        <v>254864.94841021646</v>
      </c>
      <c r="AO20" s="80">
        <f t="shared" si="42"/>
        <v>0</v>
      </c>
      <c r="AP20" s="76" t="s">
        <v>8</v>
      </c>
      <c r="AQ20" s="30" t="s">
        <v>8</v>
      </c>
      <c r="AR20" s="35">
        <f t="shared" si="43"/>
        <v>0.79265634321553424</v>
      </c>
      <c r="AS20" s="33">
        <f t="shared" si="44"/>
        <v>4.836507383318589E-2</v>
      </c>
      <c r="AT20" s="53">
        <f t="shared" si="45"/>
        <v>254864.94841021646</v>
      </c>
      <c r="AU20" s="80">
        <f t="shared" si="46"/>
        <v>0</v>
      </c>
      <c r="AV20" s="76" t="s">
        <v>8</v>
      </c>
      <c r="AW20" s="30" t="s">
        <v>8</v>
      </c>
      <c r="AX20" s="35">
        <f t="shared" si="47"/>
        <v>0.79265634321553424</v>
      </c>
      <c r="AY20" s="33">
        <f t="shared" si="48"/>
        <v>4.836507383318589E-2</v>
      </c>
      <c r="AZ20" s="53">
        <f t="shared" si="49"/>
        <v>254864.94841021646</v>
      </c>
      <c r="BA20" s="80">
        <f t="shared" si="50"/>
        <v>0</v>
      </c>
      <c r="BB20" s="76" t="s">
        <v>8</v>
      </c>
      <c r="BC20" s="30" t="s">
        <v>8</v>
      </c>
      <c r="BD20" s="35">
        <f t="shared" si="51"/>
        <v>0.79265634321553424</v>
      </c>
      <c r="BE20" s="33">
        <f t="shared" si="52"/>
        <v>4.836507383318589E-2</v>
      </c>
      <c r="BF20" s="53">
        <f t="shared" si="53"/>
        <v>254864.94841021646</v>
      </c>
      <c r="BG20" s="80">
        <f t="shared" si="54"/>
        <v>0</v>
      </c>
      <c r="BH20" s="76" t="s">
        <v>8</v>
      </c>
      <c r="BI20" s="30" t="s">
        <v>8</v>
      </c>
      <c r="BJ20" s="35">
        <f t="shared" si="55"/>
        <v>0.79265634321553424</v>
      </c>
      <c r="BK20" s="33">
        <f t="shared" si="56"/>
        <v>4.836507383318589E-2</v>
      </c>
      <c r="BL20" s="53">
        <f t="shared" si="57"/>
        <v>254864.94841021646</v>
      </c>
      <c r="BM20" s="80">
        <f t="shared" si="58"/>
        <v>0</v>
      </c>
      <c r="BN20" s="76" t="s">
        <v>8</v>
      </c>
      <c r="BO20" s="30" t="s">
        <v>8</v>
      </c>
      <c r="BP20" s="35">
        <f t="shared" si="59"/>
        <v>0.79265634321553424</v>
      </c>
      <c r="BQ20" s="33">
        <f t="shared" si="60"/>
        <v>4.836507383318589E-2</v>
      </c>
      <c r="BR20" s="53">
        <f t="shared" si="61"/>
        <v>254864.94841021646</v>
      </c>
      <c r="BS20" s="132">
        <f t="shared" si="62"/>
        <v>0</v>
      </c>
      <c r="BT20" s="76" t="s">
        <v>8</v>
      </c>
      <c r="BU20" s="30" t="s">
        <v>8</v>
      </c>
      <c r="BV20" s="35">
        <f t="shared" si="63"/>
        <v>0.79265634321553424</v>
      </c>
      <c r="BW20" s="33">
        <f t="shared" si="64"/>
        <v>4.836507383318589E-2</v>
      </c>
      <c r="BX20" s="53">
        <f t="shared" si="65"/>
        <v>254864.94841021646</v>
      </c>
      <c r="BY20" s="132">
        <f t="shared" si="66"/>
        <v>0</v>
      </c>
      <c r="BZ20" s="76" t="s">
        <v>8</v>
      </c>
      <c r="CA20" s="30" t="s">
        <v>8</v>
      </c>
      <c r="CB20" s="35">
        <f t="shared" si="67"/>
        <v>0.79265634321553424</v>
      </c>
      <c r="CC20" s="33">
        <f t="shared" si="68"/>
        <v>4.836507383318589E-2</v>
      </c>
      <c r="CD20" s="53">
        <f t="shared" si="69"/>
        <v>254864.94841021646</v>
      </c>
      <c r="CE20" s="132">
        <f t="shared" si="70"/>
        <v>0</v>
      </c>
      <c r="CF20" s="76" t="s">
        <v>8</v>
      </c>
      <c r="CG20" s="30" t="s">
        <v>8</v>
      </c>
      <c r="CH20" s="35">
        <f t="shared" si="71"/>
        <v>0.79265634321553424</v>
      </c>
      <c r="CI20" s="33">
        <f t="shared" si="72"/>
        <v>4.836507383318589E-2</v>
      </c>
      <c r="CJ20" s="53">
        <f t="shared" si="73"/>
        <v>254864.94841021646</v>
      </c>
      <c r="CK20" s="132">
        <f t="shared" si="74"/>
        <v>0</v>
      </c>
      <c r="CL20" s="76" t="s">
        <v>8</v>
      </c>
      <c r="CM20" s="30" t="s">
        <v>8</v>
      </c>
      <c r="CN20" s="35">
        <f t="shared" si="75"/>
        <v>0.79265634321553424</v>
      </c>
      <c r="CO20" s="33">
        <f t="shared" si="76"/>
        <v>4.836507383318589E-2</v>
      </c>
      <c r="CP20" s="53">
        <f t="shared" si="77"/>
        <v>254864.94841021646</v>
      </c>
      <c r="CQ20" s="132">
        <f t="shared" si="78"/>
        <v>0</v>
      </c>
      <c r="CR20" s="76" t="s">
        <v>8</v>
      </c>
      <c r="CS20" s="30" t="s">
        <v>8</v>
      </c>
      <c r="CT20" s="35">
        <f t="shared" si="79"/>
        <v>0.79265634321553424</v>
      </c>
      <c r="CU20" s="33">
        <f t="shared" si="80"/>
        <v>4.836507383318589E-2</v>
      </c>
      <c r="CV20" s="53">
        <f t="shared" si="81"/>
        <v>254864.94841021646</v>
      </c>
      <c r="CW20" s="132">
        <f t="shared" si="82"/>
        <v>0</v>
      </c>
      <c r="CX20" s="76" t="s">
        <v>8</v>
      </c>
      <c r="CY20" s="30" t="s">
        <v>8</v>
      </c>
      <c r="CZ20" s="35">
        <f t="shared" si="83"/>
        <v>0.79265634321553424</v>
      </c>
      <c r="DA20" s="33">
        <f t="shared" si="84"/>
        <v>4.836507383318589E-2</v>
      </c>
      <c r="DB20" s="53">
        <f t="shared" si="85"/>
        <v>254864.94841021646</v>
      </c>
      <c r="DC20" s="132">
        <f t="shared" si="86"/>
        <v>0</v>
      </c>
      <c r="DD20" s="76" t="s">
        <v>8</v>
      </c>
      <c r="DE20" s="30" t="s">
        <v>8</v>
      </c>
      <c r="DF20" s="35">
        <f t="shared" si="87"/>
        <v>0.79265634321553424</v>
      </c>
      <c r="DG20" s="33">
        <f t="shared" si="88"/>
        <v>4.836507383318589E-2</v>
      </c>
      <c r="DH20" s="53">
        <f t="shared" si="89"/>
        <v>254864.94841021646</v>
      </c>
      <c r="DI20" s="132">
        <f t="shared" si="90"/>
        <v>0</v>
      </c>
      <c r="DJ20" s="76" t="s">
        <v>8</v>
      </c>
      <c r="DK20" s="30" t="s">
        <v>8</v>
      </c>
      <c r="DL20" s="35">
        <f t="shared" si="91"/>
        <v>0.79265634321553424</v>
      </c>
      <c r="DM20" s="51">
        <f t="shared" si="92"/>
        <v>4.836507383318589E-2</v>
      </c>
      <c r="DN20" s="53">
        <f t="shared" si="93"/>
        <v>254864.94841021646</v>
      </c>
      <c r="DO20" s="132">
        <f t="shared" si="94"/>
        <v>0</v>
      </c>
      <c r="DP20" s="76" t="s">
        <v>8</v>
      </c>
      <c r="DQ20" s="30" t="s">
        <v>8</v>
      </c>
      <c r="DR20" s="35">
        <f t="shared" si="95"/>
        <v>0.79265634321553424</v>
      </c>
      <c r="DS20" s="51">
        <f t="shared" si="96"/>
        <v>4.836507383318589E-2</v>
      </c>
      <c r="DT20" s="53">
        <f t="shared" si="144"/>
        <v>254864.94841021646</v>
      </c>
      <c r="DU20" s="132">
        <f t="shared" si="97"/>
        <v>0</v>
      </c>
      <c r="DV20" s="76" t="s">
        <v>8</v>
      </c>
      <c r="DW20" s="30" t="s">
        <v>8</v>
      </c>
      <c r="DX20" s="35">
        <f t="shared" si="98"/>
        <v>0.79265634321553424</v>
      </c>
      <c r="DY20" s="33">
        <f t="shared" si="99"/>
        <v>4.836507383318589E-2</v>
      </c>
      <c r="DZ20" s="34">
        <f t="shared" si="100"/>
        <v>254864.94841021646</v>
      </c>
      <c r="EA20" s="80">
        <f t="shared" si="101"/>
        <v>0</v>
      </c>
      <c r="EB20" s="76" t="s">
        <v>8</v>
      </c>
      <c r="EC20" s="30" t="s">
        <v>8</v>
      </c>
      <c r="ED20" s="35">
        <f t="shared" si="102"/>
        <v>0.79265634321553424</v>
      </c>
      <c r="EE20" s="33">
        <f t="shared" si="103"/>
        <v>4.836507383318589E-2</v>
      </c>
      <c r="EF20" s="34">
        <f t="shared" si="104"/>
        <v>254864.94841021646</v>
      </c>
      <c r="EG20" s="80">
        <f t="shared" si="105"/>
        <v>0</v>
      </c>
      <c r="EH20" s="76" t="s">
        <v>8</v>
      </c>
      <c r="EI20" s="30" t="s">
        <v>8</v>
      </c>
      <c r="EJ20" s="35">
        <f t="shared" si="106"/>
        <v>0.79265634321553424</v>
      </c>
      <c r="EK20" s="33">
        <f t="shared" si="107"/>
        <v>4.836507383318589E-2</v>
      </c>
      <c r="EL20" s="34">
        <f t="shared" si="108"/>
        <v>254864.94841021646</v>
      </c>
      <c r="EM20" s="80">
        <f t="shared" si="109"/>
        <v>0</v>
      </c>
      <c r="EN20" s="76" t="s">
        <v>8</v>
      </c>
      <c r="EO20" s="30" t="s">
        <v>8</v>
      </c>
      <c r="EP20" s="35">
        <f t="shared" si="110"/>
        <v>0.79265634321553424</v>
      </c>
      <c r="EQ20" s="51">
        <f t="shared" si="111"/>
        <v>4.836507383318589E-2</v>
      </c>
      <c r="ER20" s="34">
        <f t="shared" si="112"/>
        <v>254864.94841021646</v>
      </c>
      <c r="ES20" s="80">
        <f t="shared" si="113"/>
        <v>0</v>
      </c>
      <c r="ET20" s="76" t="s">
        <v>8</v>
      </c>
      <c r="EU20" s="30" t="s">
        <v>8</v>
      </c>
      <c r="EV20" s="35">
        <f t="shared" si="114"/>
        <v>0.79265634321553424</v>
      </c>
      <c r="EW20" s="33">
        <f t="shared" si="115"/>
        <v>4.836507383318589E-2</v>
      </c>
      <c r="EX20" s="34">
        <f t="shared" si="116"/>
        <v>254864.94841021646</v>
      </c>
      <c r="EY20" s="80">
        <f t="shared" si="117"/>
        <v>0</v>
      </c>
      <c r="EZ20" s="76" t="s">
        <v>8</v>
      </c>
      <c r="FA20" s="30" t="s">
        <v>8</v>
      </c>
      <c r="FB20" s="35">
        <f t="shared" si="118"/>
        <v>0.79265634321553424</v>
      </c>
      <c r="FC20" s="33">
        <f t="shared" si="119"/>
        <v>4.836507383318589E-2</v>
      </c>
      <c r="FD20" s="34">
        <f t="shared" si="120"/>
        <v>254864.94841021646</v>
      </c>
      <c r="FE20" s="80">
        <f t="shared" si="121"/>
        <v>0</v>
      </c>
      <c r="FF20" s="76" t="s">
        <v>8</v>
      </c>
      <c r="FG20" s="30" t="s">
        <v>8</v>
      </c>
      <c r="FH20" s="35">
        <f t="shared" si="122"/>
        <v>0.79265634321553424</v>
      </c>
      <c r="FI20" s="33">
        <f t="shared" si="123"/>
        <v>4.836507383318589E-2</v>
      </c>
      <c r="FJ20" s="34">
        <f t="shared" si="124"/>
        <v>254864.94841021646</v>
      </c>
      <c r="FK20" s="80">
        <f t="shared" si="125"/>
        <v>0</v>
      </c>
      <c r="FL20" s="76" t="s">
        <v>8</v>
      </c>
      <c r="FM20" s="30" t="s">
        <v>8</v>
      </c>
      <c r="FN20" s="35">
        <f t="shared" si="126"/>
        <v>0.79265634321553424</v>
      </c>
      <c r="FO20" s="33">
        <f t="shared" si="127"/>
        <v>4.836507383318589E-2</v>
      </c>
      <c r="FP20" s="34">
        <f t="shared" si="128"/>
        <v>254864.94841021646</v>
      </c>
      <c r="FQ20" s="80">
        <f t="shared" si="129"/>
        <v>0</v>
      </c>
      <c r="FR20" s="76" t="s">
        <v>8</v>
      </c>
      <c r="FS20" s="30" t="s">
        <v>8</v>
      </c>
      <c r="FT20" s="35">
        <f t="shared" si="130"/>
        <v>0.79265634321553424</v>
      </c>
      <c r="FU20" s="33">
        <f t="shared" si="131"/>
        <v>4.836507383318589E-2</v>
      </c>
      <c r="FV20" s="34">
        <f t="shared" si="132"/>
        <v>254864.94841021646</v>
      </c>
      <c r="FW20" s="80">
        <f t="shared" si="133"/>
        <v>0</v>
      </c>
      <c r="FX20" s="76" t="s">
        <v>8</v>
      </c>
      <c r="FY20" s="30" t="s">
        <v>8</v>
      </c>
      <c r="FZ20" s="35">
        <f t="shared" si="134"/>
        <v>0.79265634321553424</v>
      </c>
      <c r="GA20" s="33">
        <f t="shared" si="135"/>
        <v>4.836507383318589E-2</v>
      </c>
      <c r="GB20" s="34">
        <f t="shared" si="136"/>
        <v>254864.94841021646</v>
      </c>
      <c r="GC20" s="80">
        <f t="shared" si="137"/>
        <v>0</v>
      </c>
      <c r="GD20" s="76" t="s">
        <v>8</v>
      </c>
      <c r="GE20" s="30" t="s">
        <v>8</v>
      </c>
      <c r="GF20" s="35">
        <f t="shared" si="138"/>
        <v>0.79265634321553424</v>
      </c>
      <c r="GG20" s="33">
        <f t="shared" si="139"/>
        <v>4.836507383318589E-2</v>
      </c>
      <c r="GH20" s="34">
        <f t="shared" si="140"/>
        <v>254864.94841021646</v>
      </c>
      <c r="GI20" s="132">
        <f t="shared" si="141"/>
        <v>0</v>
      </c>
      <c r="GJ20" s="223">
        <f t="shared" si="145"/>
        <v>590476.98760820716</v>
      </c>
      <c r="GK20" s="104">
        <f t="shared" si="146"/>
        <v>954162.61000418838</v>
      </c>
      <c r="GL20" s="86">
        <f t="shared" si="142"/>
        <v>0.79265634321553435</v>
      </c>
      <c r="GN20" s="214">
        <v>954162.61</v>
      </c>
    </row>
    <row r="21" spans="1:196" s="25" customFormat="1" ht="16.5" thickBot="1" x14ac:dyDescent="0.25">
      <c r="A21" s="185" t="s">
        <v>185</v>
      </c>
      <c r="B21" s="156" t="s">
        <v>8</v>
      </c>
      <c r="C21" s="156" t="s">
        <v>8</v>
      </c>
      <c r="D21" s="156" t="s">
        <v>8</v>
      </c>
      <c r="E21" s="156" t="s">
        <v>8</v>
      </c>
      <c r="F21" s="156" t="s">
        <v>8</v>
      </c>
      <c r="G21" s="141">
        <f>'Исходные данные 25 г.'!C23</f>
        <v>402</v>
      </c>
      <c r="H21" s="49">
        <f>'Исходные данные 2027г. '!D23</f>
        <v>130470</v>
      </c>
      <c r="I21" s="143">
        <f>'Расчет КРП'!H19</f>
        <v>5.6616105593778903</v>
      </c>
      <c r="J21" s="144" t="s">
        <v>8</v>
      </c>
      <c r="K21" s="145">
        <f t="shared" si="22"/>
        <v>8.853841909928295E-2</v>
      </c>
      <c r="L21" s="146">
        <f t="shared" si="23"/>
        <v>390913.42300316697</v>
      </c>
      <c r="M21" s="147">
        <f t="shared" si="24"/>
        <v>0.35381669362514845</v>
      </c>
      <c r="N21" s="148" t="s">
        <v>8</v>
      </c>
      <c r="O21" s="149">
        <f t="shared" si="25"/>
        <v>7.2167051306716523E-2</v>
      </c>
      <c r="P21" s="34">
        <f t="shared" si="143"/>
        <v>266065.2785115607</v>
      </c>
      <c r="Q21" s="150">
        <f t="shared" si="26"/>
        <v>266065.2785115607</v>
      </c>
      <c r="R21" s="161" t="s">
        <v>8</v>
      </c>
      <c r="S21" s="148" t="s">
        <v>8</v>
      </c>
      <c r="T21" s="151">
        <f t="shared" si="27"/>
        <v>0.53437160384683924</v>
      </c>
      <c r="U21" s="149">
        <f t="shared" si="28"/>
        <v>7.5407827120800408E-2</v>
      </c>
      <c r="V21" s="53">
        <f t="shared" si="29"/>
        <v>338675.18578671553</v>
      </c>
      <c r="W21" s="150">
        <f t="shared" si="30"/>
        <v>338675.18578671553</v>
      </c>
      <c r="X21" s="140" t="s">
        <v>8</v>
      </c>
      <c r="Y21" s="148" t="s">
        <v>8</v>
      </c>
      <c r="Z21" s="151">
        <f t="shared" si="31"/>
        <v>0.76420041918915338</v>
      </c>
      <c r="AA21" s="149">
        <f t="shared" si="32"/>
        <v>-1.6631698301143083E-2</v>
      </c>
      <c r="AB21" s="53">
        <f t="shared" si="33"/>
        <v>0</v>
      </c>
      <c r="AC21" s="150">
        <f t="shared" si="34"/>
        <v>0</v>
      </c>
      <c r="AD21" s="140" t="s">
        <v>8</v>
      </c>
      <c r="AE21" s="148" t="s">
        <v>8</v>
      </c>
      <c r="AF21" s="151">
        <f t="shared" si="35"/>
        <v>0.76420041918915338</v>
      </c>
      <c r="AG21" s="149">
        <f t="shared" si="36"/>
        <v>7.6820997859566753E-2</v>
      </c>
      <c r="AH21" s="53">
        <f t="shared" si="37"/>
        <v>433996.06460074929</v>
      </c>
      <c r="AI21" s="150">
        <f t="shared" si="38"/>
        <v>0</v>
      </c>
      <c r="AJ21" s="140" t="s">
        <v>8</v>
      </c>
      <c r="AK21" s="148" t="s">
        <v>8</v>
      </c>
      <c r="AL21" s="151">
        <f t="shared" si="39"/>
        <v>0.76420041918915338</v>
      </c>
      <c r="AM21" s="149">
        <f t="shared" si="40"/>
        <v>7.6820997859566753E-2</v>
      </c>
      <c r="AN21" s="53">
        <f t="shared" si="41"/>
        <v>433996.06460074929</v>
      </c>
      <c r="AO21" s="150">
        <f t="shared" si="42"/>
        <v>0</v>
      </c>
      <c r="AP21" s="140" t="s">
        <v>8</v>
      </c>
      <c r="AQ21" s="148" t="s">
        <v>8</v>
      </c>
      <c r="AR21" s="151">
        <f t="shared" si="43"/>
        <v>0.76420041918915338</v>
      </c>
      <c r="AS21" s="149">
        <f t="shared" si="44"/>
        <v>7.6820997859566753E-2</v>
      </c>
      <c r="AT21" s="53">
        <f t="shared" si="45"/>
        <v>433996.06460074929</v>
      </c>
      <c r="AU21" s="150">
        <f t="shared" si="46"/>
        <v>0</v>
      </c>
      <c r="AV21" s="140" t="s">
        <v>8</v>
      </c>
      <c r="AW21" s="148" t="s">
        <v>8</v>
      </c>
      <c r="AX21" s="151">
        <f t="shared" si="47"/>
        <v>0.76420041918915338</v>
      </c>
      <c r="AY21" s="149">
        <f t="shared" si="48"/>
        <v>7.6820997859566753E-2</v>
      </c>
      <c r="AZ21" s="53">
        <f t="shared" si="49"/>
        <v>433996.06460074929</v>
      </c>
      <c r="BA21" s="150">
        <f t="shared" si="50"/>
        <v>0</v>
      </c>
      <c r="BB21" s="140" t="s">
        <v>8</v>
      </c>
      <c r="BC21" s="148" t="s">
        <v>8</v>
      </c>
      <c r="BD21" s="151">
        <f t="shared" si="51"/>
        <v>0.76420041918915338</v>
      </c>
      <c r="BE21" s="149">
        <f t="shared" si="52"/>
        <v>7.6820997859566753E-2</v>
      </c>
      <c r="BF21" s="53">
        <f t="shared" si="53"/>
        <v>433996.06460074929</v>
      </c>
      <c r="BG21" s="150">
        <f t="shared" si="54"/>
        <v>0</v>
      </c>
      <c r="BH21" s="140" t="s">
        <v>8</v>
      </c>
      <c r="BI21" s="148" t="s">
        <v>8</v>
      </c>
      <c r="BJ21" s="151">
        <f t="shared" si="55"/>
        <v>0.76420041918915338</v>
      </c>
      <c r="BK21" s="149">
        <f t="shared" si="56"/>
        <v>7.6820997859566753E-2</v>
      </c>
      <c r="BL21" s="53">
        <f t="shared" si="57"/>
        <v>433996.06460074929</v>
      </c>
      <c r="BM21" s="150">
        <f t="shared" si="58"/>
        <v>0</v>
      </c>
      <c r="BN21" s="140" t="s">
        <v>8</v>
      </c>
      <c r="BO21" s="148" t="s">
        <v>8</v>
      </c>
      <c r="BP21" s="151">
        <f t="shared" si="59"/>
        <v>0.76420041918915338</v>
      </c>
      <c r="BQ21" s="149">
        <f t="shared" si="60"/>
        <v>7.6820997859566753E-2</v>
      </c>
      <c r="BR21" s="53">
        <f t="shared" si="61"/>
        <v>433996.06460074929</v>
      </c>
      <c r="BS21" s="152">
        <f t="shared" si="62"/>
        <v>0</v>
      </c>
      <c r="BT21" s="140" t="s">
        <v>8</v>
      </c>
      <c r="BU21" s="148" t="s">
        <v>8</v>
      </c>
      <c r="BV21" s="151">
        <f t="shared" si="63"/>
        <v>0.76420041918915338</v>
      </c>
      <c r="BW21" s="149">
        <f t="shared" si="64"/>
        <v>7.6820997859566753E-2</v>
      </c>
      <c r="BX21" s="53">
        <f t="shared" si="65"/>
        <v>433996.06460074929</v>
      </c>
      <c r="BY21" s="152">
        <f t="shared" si="66"/>
        <v>0</v>
      </c>
      <c r="BZ21" s="140" t="s">
        <v>8</v>
      </c>
      <c r="CA21" s="148" t="s">
        <v>8</v>
      </c>
      <c r="CB21" s="151">
        <f t="shared" si="67"/>
        <v>0.76420041918915338</v>
      </c>
      <c r="CC21" s="149">
        <f t="shared" si="68"/>
        <v>7.6820997859566753E-2</v>
      </c>
      <c r="CD21" s="53">
        <f t="shared" si="69"/>
        <v>433996.06460074929</v>
      </c>
      <c r="CE21" s="152">
        <f t="shared" si="70"/>
        <v>0</v>
      </c>
      <c r="CF21" s="140" t="s">
        <v>8</v>
      </c>
      <c r="CG21" s="148" t="s">
        <v>8</v>
      </c>
      <c r="CH21" s="151">
        <f t="shared" si="71"/>
        <v>0.76420041918915338</v>
      </c>
      <c r="CI21" s="149">
        <f t="shared" si="72"/>
        <v>7.6820997859566753E-2</v>
      </c>
      <c r="CJ21" s="53">
        <f t="shared" si="73"/>
        <v>433996.06460074929</v>
      </c>
      <c r="CK21" s="152">
        <f t="shared" si="74"/>
        <v>0</v>
      </c>
      <c r="CL21" s="140" t="s">
        <v>8</v>
      </c>
      <c r="CM21" s="148" t="s">
        <v>8</v>
      </c>
      <c r="CN21" s="151">
        <f t="shared" si="75"/>
        <v>0.76420041918915338</v>
      </c>
      <c r="CO21" s="149">
        <f t="shared" si="76"/>
        <v>7.6820997859566753E-2</v>
      </c>
      <c r="CP21" s="53">
        <f t="shared" si="77"/>
        <v>433996.06460074929</v>
      </c>
      <c r="CQ21" s="152">
        <f t="shared" si="78"/>
        <v>0</v>
      </c>
      <c r="CR21" s="140" t="s">
        <v>8</v>
      </c>
      <c r="CS21" s="148" t="s">
        <v>8</v>
      </c>
      <c r="CT21" s="151">
        <f t="shared" si="79"/>
        <v>0.76420041918915338</v>
      </c>
      <c r="CU21" s="149">
        <f t="shared" si="80"/>
        <v>7.6820997859566753E-2</v>
      </c>
      <c r="CV21" s="53">
        <f t="shared" si="81"/>
        <v>433996.06460074929</v>
      </c>
      <c r="CW21" s="152">
        <f t="shared" si="82"/>
        <v>0</v>
      </c>
      <c r="CX21" s="140" t="s">
        <v>8</v>
      </c>
      <c r="CY21" s="148" t="s">
        <v>8</v>
      </c>
      <c r="CZ21" s="151">
        <f t="shared" si="83"/>
        <v>0.76420041918915338</v>
      </c>
      <c r="DA21" s="149">
        <f t="shared" si="84"/>
        <v>7.6820997859566753E-2</v>
      </c>
      <c r="DB21" s="53">
        <f t="shared" si="85"/>
        <v>433996.06460074929</v>
      </c>
      <c r="DC21" s="152">
        <f t="shared" si="86"/>
        <v>0</v>
      </c>
      <c r="DD21" s="140" t="s">
        <v>8</v>
      </c>
      <c r="DE21" s="148" t="s">
        <v>8</v>
      </c>
      <c r="DF21" s="151">
        <f t="shared" si="87"/>
        <v>0.76420041918915338</v>
      </c>
      <c r="DG21" s="149">
        <f t="shared" si="88"/>
        <v>7.6820997859566753E-2</v>
      </c>
      <c r="DH21" s="53">
        <f t="shared" si="89"/>
        <v>433996.06460074929</v>
      </c>
      <c r="DI21" s="152">
        <f t="shared" si="90"/>
        <v>0</v>
      </c>
      <c r="DJ21" s="140" t="s">
        <v>8</v>
      </c>
      <c r="DK21" s="148" t="s">
        <v>8</v>
      </c>
      <c r="DL21" s="151">
        <f t="shared" si="91"/>
        <v>0.76420041918915338</v>
      </c>
      <c r="DM21" s="51">
        <f t="shared" si="92"/>
        <v>7.6820997859566753E-2</v>
      </c>
      <c r="DN21" s="53">
        <f t="shared" si="93"/>
        <v>433996.06460074929</v>
      </c>
      <c r="DO21" s="152">
        <f t="shared" si="94"/>
        <v>0</v>
      </c>
      <c r="DP21" s="140" t="s">
        <v>8</v>
      </c>
      <c r="DQ21" s="148" t="s">
        <v>8</v>
      </c>
      <c r="DR21" s="151">
        <f t="shared" si="95"/>
        <v>0.76420041918915338</v>
      </c>
      <c r="DS21" s="51">
        <f t="shared" si="96"/>
        <v>7.6820997859566753E-2</v>
      </c>
      <c r="DT21" s="53">
        <f t="shared" si="144"/>
        <v>433996.06460074929</v>
      </c>
      <c r="DU21" s="152">
        <f t="shared" si="97"/>
        <v>0</v>
      </c>
      <c r="DV21" s="140" t="s">
        <v>8</v>
      </c>
      <c r="DW21" s="148" t="s">
        <v>8</v>
      </c>
      <c r="DX21" s="200">
        <f t="shared" si="98"/>
        <v>0.76420041918915338</v>
      </c>
      <c r="DY21" s="201">
        <f t="shared" si="99"/>
        <v>7.6820997859566753E-2</v>
      </c>
      <c r="DZ21" s="34">
        <f t="shared" si="100"/>
        <v>433996.06460074929</v>
      </c>
      <c r="EA21" s="150">
        <f t="shared" si="101"/>
        <v>0</v>
      </c>
      <c r="EB21" s="140" t="s">
        <v>8</v>
      </c>
      <c r="EC21" s="148" t="s">
        <v>8</v>
      </c>
      <c r="ED21" s="200">
        <f t="shared" si="102"/>
        <v>0.76420041918915338</v>
      </c>
      <c r="EE21" s="201">
        <f t="shared" si="103"/>
        <v>7.6820997859566753E-2</v>
      </c>
      <c r="EF21" s="34">
        <f t="shared" si="104"/>
        <v>433996.06460074929</v>
      </c>
      <c r="EG21" s="150">
        <f t="shared" si="105"/>
        <v>0</v>
      </c>
      <c r="EH21" s="140" t="s">
        <v>8</v>
      </c>
      <c r="EI21" s="148" t="s">
        <v>8</v>
      </c>
      <c r="EJ21" s="200">
        <f t="shared" si="106"/>
        <v>0.76420041918915338</v>
      </c>
      <c r="EK21" s="201">
        <f t="shared" si="107"/>
        <v>7.6820997859566753E-2</v>
      </c>
      <c r="EL21" s="34">
        <f t="shared" si="108"/>
        <v>433996.06460074929</v>
      </c>
      <c r="EM21" s="150">
        <f t="shared" si="109"/>
        <v>0</v>
      </c>
      <c r="EN21" s="140" t="s">
        <v>8</v>
      </c>
      <c r="EO21" s="148" t="s">
        <v>8</v>
      </c>
      <c r="EP21" s="200">
        <f t="shared" si="110"/>
        <v>0.76420041918915338</v>
      </c>
      <c r="EQ21" s="51">
        <f t="shared" si="111"/>
        <v>7.6820997859566753E-2</v>
      </c>
      <c r="ER21" s="34">
        <f t="shared" si="112"/>
        <v>433996.06460074929</v>
      </c>
      <c r="ES21" s="150">
        <f t="shared" si="113"/>
        <v>0</v>
      </c>
      <c r="ET21" s="140" t="s">
        <v>8</v>
      </c>
      <c r="EU21" s="148" t="s">
        <v>8</v>
      </c>
      <c r="EV21" s="200">
        <f t="shared" si="114"/>
        <v>0.76420041918915338</v>
      </c>
      <c r="EW21" s="201">
        <f t="shared" si="115"/>
        <v>7.6820997859566753E-2</v>
      </c>
      <c r="EX21" s="34">
        <f t="shared" si="116"/>
        <v>433996.06460074929</v>
      </c>
      <c r="EY21" s="150">
        <f t="shared" si="117"/>
        <v>0</v>
      </c>
      <c r="EZ21" s="140" t="s">
        <v>8</v>
      </c>
      <c r="FA21" s="148" t="s">
        <v>8</v>
      </c>
      <c r="FB21" s="200">
        <f t="shared" si="118"/>
        <v>0.76420041918915338</v>
      </c>
      <c r="FC21" s="201">
        <f t="shared" si="119"/>
        <v>7.6820997859566753E-2</v>
      </c>
      <c r="FD21" s="34">
        <f t="shared" si="120"/>
        <v>433996.06460074929</v>
      </c>
      <c r="FE21" s="150">
        <f t="shared" si="121"/>
        <v>0</v>
      </c>
      <c r="FF21" s="140" t="s">
        <v>8</v>
      </c>
      <c r="FG21" s="148" t="s">
        <v>8</v>
      </c>
      <c r="FH21" s="200">
        <f t="shared" si="122"/>
        <v>0.76420041918915338</v>
      </c>
      <c r="FI21" s="201">
        <f t="shared" si="123"/>
        <v>7.6820997859566753E-2</v>
      </c>
      <c r="FJ21" s="34">
        <f t="shared" si="124"/>
        <v>433996.06460074929</v>
      </c>
      <c r="FK21" s="150">
        <f t="shared" si="125"/>
        <v>0</v>
      </c>
      <c r="FL21" s="140" t="s">
        <v>8</v>
      </c>
      <c r="FM21" s="148" t="s">
        <v>8</v>
      </c>
      <c r="FN21" s="200">
        <f t="shared" si="126"/>
        <v>0.76420041918915338</v>
      </c>
      <c r="FO21" s="201">
        <f t="shared" si="127"/>
        <v>7.6820997859566753E-2</v>
      </c>
      <c r="FP21" s="34">
        <f t="shared" si="128"/>
        <v>433996.06460074929</v>
      </c>
      <c r="FQ21" s="150">
        <f t="shared" si="129"/>
        <v>0</v>
      </c>
      <c r="FR21" s="140" t="s">
        <v>8</v>
      </c>
      <c r="FS21" s="148" t="s">
        <v>8</v>
      </c>
      <c r="FT21" s="200">
        <f t="shared" si="130"/>
        <v>0.76420041918915338</v>
      </c>
      <c r="FU21" s="201">
        <f t="shared" si="131"/>
        <v>7.6820997859566753E-2</v>
      </c>
      <c r="FV21" s="34">
        <f t="shared" si="132"/>
        <v>433996.06460074929</v>
      </c>
      <c r="FW21" s="150">
        <f t="shared" si="133"/>
        <v>0</v>
      </c>
      <c r="FX21" s="140" t="s">
        <v>8</v>
      </c>
      <c r="FY21" s="148" t="s">
        <v>8</v>
      </c>
      <c r="FZ21" s="200">
        <f t="shared" si="134"/>
        <v>0.76420041918915338</v>
      </c>
      <c r="GA21" s="201">
        <f t="shared" si="135"/>
        <v>7.6820997859566753E-2</v>
      </c>
      <c r="GB21" s="34">
        <f t="shared" si="136"/>
        <v>433996.06460074929</v>
      </c>
      <c r="GC21" s="150">
        <f t="shared" si="137"/>
        <v>0</v>
      </c>
      <c r="GD21" s="140" t="s">
        <v>8</v>
      </c>
      <c r="GE21" s="148" t="s">
        <v>8</v>
      </c>
      <c r="GF21" s="200">
        <f t="shared" si="138"/>
        <v>0.76420041918915338</v>
      </c>
      <c r="GG21" s="201">
        <f t="shared" si="139"/>
        <v>7.6820997859566753E-2</v>
      </c>
      <c r="GH21" s="221">
        <f t="shared" si="140"/>
        <v>433996.06460074929</v>
      </c>
      <c r="GI21" s="152">
        <f t="shared" si="141"/>
        <v>0</v>
      </c>
      <c r="GJ21" s="223">
        <f t="shared" si="145"/>
        <v>604740.46429827623</v>
      </c>
      <c r="GK21" s="104">
        <f>L21+GJ21</f>
        <v>995653.88730144314</v>
      </c>
      <c r="GL21" s="86">
        <f t="shared" si="142"/>
        <v>0.76420041918915338</v>
      </c>
      <c r="GN21" s="214">
        <v>995653.89</v>
      </c>
    </row>
    <row r="22" spans="1:196" s="29" customFormat="1" ht="16.5" thickBot="1" x14ac:dyDescent="0.3">
      <c r="A22" s="108" t="s">
        <v>6</v>
      </c>
      <c r="B22" s="129">
        <v>16800874</v>
      </c>
      <c r="C22" s="127">
        <v>53</v>
      </c>
      <c r="D22" s="81">
        <f>B22*C22/100</f>
        <v>8904463.2200000007</v>
      </c>
      <c r="E22" s="115">
        <f>100-C22</f>
        <v>47</v>
      </c>
      <c r="F22" s="81">
        <f>B22-D22</f>
        <v>7896410.7799999993</v>
      </c>
      <c r="G22" s="114">
        <f>SUM(G9:G21)</f>
        <v>9157</v>
      </c>
      <c r="H22" s="114">
        <f>SUM(H9:H21)</f>
        <v>5928790</v>
      </c>
      <c r="I22" s="45" t="s">
        <v>8</v>
      </c>
      <c r="J22" s="175">
        <f>H22/G22</f>
        <v>647.45986676859229</v>
      </c>
      <c r="K22" s="125" t="s">
        <v>8</v>
      </c>
      <c r="L22" s="78">
        <f>SUM(L9:L21)</f>
        <v>8904463.2200000007</v>
      </c>
      <c r="M22" s="74" t="s">
        <v>8</v>
      </c>
      <c r="N22" s="46">
        <f>(SUMIF(M9:M21,"&lt;1")+1)/(COUNTIFS(M9:M21,"&lt;1")+1)</f>
        <v>0.42598374493186497</v>
      </c>
      <c r="O22" s="47" t="s">
        <v>8</v>
      </c>
      <c r="P22" s="44">
        <f>SUM(P9:P21)</f>
        <v>3236578.9730230896</v>
      </c>
      <c r="Q22" s="44">
        <f>SUM(Q9:Q21)</f>
        <v>3236578.9730230896</v>
      </c>
      <c r="R22" s="87">
        <f>F22-Q22</f>
        <v>4659831.8069769097</v>
      </c>
      <c r="S22" s="46">
        <f>(SUMIF(T9:T21,"&lt;1")+1)/(COUNTIFS(T9:T21,"&lt;1")+1)</f>
        <v>0.60977943096763965</v>
      </c>
      <c r="T22" s="47" t="s">
        <v>8</v>
      </c>
      <c r="U22" s="47" t="s">
        <v>8</v>
      </c>
      <c r="V22" s="44">
        <f>SUM(V9:V21)</f>
        <v>3222156.2678156914</v>
      </c>
      <c r="W22" s="44">
        <f>SUM(W9:W21)</f>
        <v>3222156.2678156914</v>
      </c>
      <c r="X22" s="87">
        <f>R22-W22</f>
        <v>1437675.5391612183</v>
      </c>
      <c r="Y22" s="46">
        <f>(SUMIF(Z9:Z21,"&lt;1")+1)/(COUNTIFS(Z9:Z21,"&lt;1")+1)</f>
        <v>0.7475687208880103</v>
      </c>
      <c r="Z22" s="47" t="s">
        <v>8</v>
      </c>
      <c r="AA22" s="47" t="s">
        <v>8</v>
      </c>
      <c r="AB22" s="44">
        <f>SUM(AB9:AB21)</f>
        <v>2206294.6910443529</v>
      </c>
      <c r="AC22" s="44">
        <f>SUM(AC9:AC21)</f>
        <v>1437675.5391612181</v>
      </c>
      <c r="AD22" s="87">
        <f>X22-AC22</f>
        <v>0</v>
      </c>
      <c r="AE22" s="46">
        <f>(SUMIF(AF9:AF21,"&lt;1")+1)/(COUNTIFS(AF9:AF21,"&lt;1")+1)</f>
        <v>0.84102141704872013</v>
      </c>
      <c r="AF22" s="47" t="s">
        <v>8</v>
      </c>
      <c r="AG22" s="47" t="s">
        <v>8</v>
      </c>
      <c r="AH22" s="44">
        <f>SUM(AH9:AH21)</f>
        <v>3928600.8245810256</v>
      </c>
      <c r="AI22" s="44">
        <f>SUM(AI9:AI21)</f>
        <v>0</v>
      </c>
      <c r="AJ22" s="87">
        <f>AD22-AI22</f>
        <v>0</v>
      </c>
      <c r="AK22" s="46">
        <f>(SUMIF(AL9:AL21,"&lt;1")+1)/(COUNTIFS(AL9:AL21,"&lt;1")+1)</f>
        <v>0.84102141704872013</v>
      </c>
      <c r="AL22" s="47" t="s">
        <v>8</v>
      </c>
      <c r="AM22" s="47" t="s">
        <v>8</v>
      </c>
      <c r="AN22" s="44">
        <f>SUM(AN9:AN21)</f>
        <v>3928600.8245810256</v>
      </c>
      <c r="AO22" s="44">
        <f>SUM(AO9:AO21)</f>
        <v>0</v>
      </c>
      <c r="AP22" s="87">
        <f>AJ22-AO22</f>
        <v>0</v>
      </c>
      <c r="AQ22" s="46">
        <f>(SUMIF(AR9:AR21,"&lt;1")+1)/(COUNTIFS(AR9:AR21,"&lt;1")+1)</f>
        <v>0.84102141704872013</v>
      </c>
      <c r="AR22" s="47" t="s">
        <v>8</v>
      </c>
      <c r="AS22" s="47" t="s">
        <v>8</v>
      </c>
      <c r="AT22" s="44">
        <f>SUM(AT9:AT21)</f>
        <v>3928600.8245810256</v>
      </c>
      <c r="AU22" s="81">
        <f>SUM(AU9:AU21)</f>
        <v>0</v>
      </c>
      <c r="AV22" s="87">
        <f>AP22-AU22</f>
        <v>0</v>
      </c>
      <c r="AW22" s="46">
        <f>(SUMIF(AX9:AX21,"&lt;1")+1)/(COUNTIFS(AX9:AX21,"&lt;1")+1)</f>
        <v>0.84102141704872013</v>
      </c>
      <c r="AX22" s="47" t="s">
        <v>8</v>
      </c>
      <c r="AY22" s="47" t="s">
        <v>8</v>
      </c>
      <c r="AZ22" s="44">
        <f>SUM(AZ9:AZ21)</f>
        <v>3928600.8245810256</v>
      </c>
      <c r="BA22" s="44">
        <f>SUM(BA9:BA21)</f>
        <v>0</v>
      </c>
      <c r="BB22" s="87">
        <f>AV22-BA22</f>
        <v>0</v>
      </c>
      <c r="BC22" s="46">
        <f>(SUMIF(BD9:BD21,"&lt;1")+1)/(COUNTIFS(BD9:BD21,"&lt;1")+1)</f>
        <v>0.84102141704872013</v>
      </c>
      <c r="BD22" s="47" t="s">
        <v>8</v>
      </c>
      <c r="BE22" s="47" t="s">
        <v>8</v>
      </c>
      <c r="BF22" s="44">
        <f>SUM(BF9:BF21)</f>
        <v>3928600.8245810256</v>
      </c>
      <c r="BG22" s="44">
        <f>SUM(BG9:BG21)</f>
        <v>0</v>
      </c>
      <c r="BH22" s="87">
        <f>BB22-BG22</f>
        <v>0</v>
      </c>
      <c r="BI22" s="46">
        <f>(SUMIF(BJ9:BJ21,"&lt;1")+1)/(COUNTIFS(BJ9:BJ21,"&lt;1")+1)</f>
        <v>0.84102141704872013</v>
      </c>
      <c r="BJ22" s="47" t="s">
        <v>8</v>
      </c>
      <c r="BK22" s="47" t="s">
        <v>8</v>
      </c>
      <c r="BL22" s="44">
        <f>SUM(BL9:BL21)</f>
        <v>3928600.8245810256</v>
      </c>
      <c r="BM22" s="44">
        <f>SUM(BM9:BM21)</f>
        <v>0</v>
      </c>
      <c r="BN22" s="87">
        <f>BH22-BM22</f>
        <v>0</v>
      </c>
      <c r="BO22" s="46">
        <f>(SUMIF(BP9:BP21,"&lt;1")+1)/(COUNTIFS(BP9:BP21,"&lt;1")+1)</f>
        <v>0.84102141704872013</v>
      </c>
      <c r="BP22" s="47" t="s">
        <v>8</v>
      </c>
      <c r="BQ22" s="47" t="s">
        <v>8</v>
      </c>
      <c r="BR22" s="44">
        <f>SUM(BR9:BR21)</f>
        <v>3928600.8245810256</v>
      </c>
      <c r="BS22" s="44">
        <f>SUM(BS9:BS21)</f>
        <v>0</v>
      </c>
      <c r="BT22" s="87">
        <f>BN22-BS22</f>
        <v>0</v>
      </c>
      <c r="BU22" s="46">
        <f>(SUMIF(BV9:BV21,"&lt;1")+1)/(COUNTIFS(BV9:BV21,"&lt;1")+1)</f>
        <v>0.84102141704872013</v>
      </c>
      <c r="BV22" s="47" t="s">
        <v>8</v>
      </c>
      <c r="BW22" s="47" t="s">
        <v>8</v>
      </c>
      <c r="BX22" s="44">
        <f>SUM(BX9:BX21)</f>
        <v>3928600.8245810256</v>
      </c>
      <c r="BY22" s="44">
        <f>SUM(BY9:BY21)</f>
        <v>0</v>
      </c>
      <c r="BZ22" s="87">
        <f>BT22-BY22</f>
        <v>0</v>
      </c>
      <c r="CA22" s="46">
        <f>(SUMIF(CB9:CB21,"&lt;1")+1)/(COUNTIFS(CB9:CB21,"&lt;1")+1)</f>
        <v>0.84102141704872013</v>
      </c>
      <c r="CB22" s="47" t="s">
        <v>8</v>
      </c>
      <c r="CC22" s="47" t="s">
        <v>8</v>
      </c>
      <c r="CD22" s="44">
        <f>SUM(CD9:CD21)</f>
        <v>3928600.8245810256</v>
      </c>
      <c r="CE22" s="44">
        <f>SUM(CE9:CE21)</f>
        <v>0</v>
      </c>
      <c r="CF22" s="87">
        <f>BZ22-CE22</f>
        <v>0</v>
      </c>
      <c r="CG22" s="46">
        <f>(SUMIF(CH9:CH21,"&lt;1")+1)/(COUNTIFS(CH9:CH21,"&lt;1")+1)</f>
        <v>0.84102141704872013</v>
      </c>
      <c r="CH22" s="47" t="s">
        <v>8</v>
      </c>
      <c r="CI22" s="47" t="s">
        <v>8</v>
      </c>
      <c r="CJ22" s="44">
        <f>SUM(CJ9:CJ21)</f>
        <v>3928600.8245810256</v>
      </c>
      <c r="CK22" s="44">
        <f>SUM(CK9:CK21)</f>
        <v>0</v>
      </c>
      <c r="CL22" s="87">
        <f>CF22-CK22</f>
        <v>0</v>
      </c>
      <c r="CM22" s="46">
        <f>(SUMIF(CN9:CN21,"&lt;1")+1)/(COUNTIFS(CN9:CN21,"&lt;1")+1)</f>
        <v>0.84102141704872013</v>
      </c>
      <c r="CN22" s="47" t="s">
        <v>8</v>
      </c>
      <c r="CO22" s="47" t="s">
        <v>8</v>
      </c>
      <c r="CP22" s="44">
        <f>SUM(CP9:CP21)</f>
        <v>3928600.8245810256</v>
      </c>
      <c r="CQ22" s="44">
        <f>SUM(CQ9:CQ21)</f>
        <v>0</v>
      </c>
      <c r="CR22" s="87">
        <f>CL22-CQ22</f>
        <v>0</v>
      </c>
      <c r="CS22" s="46">
        <f>(SUMIF(CT9:CT21,"&lt;1")+1)/(COUNTIFS(CT9:CT21,"&lt;1")+1)</f>
        <v>0.84102141704872013</v>
      </c>
      <c r="CT22" s="47" t="s">
        <v>8</v>
      </c>
      <c r="CU22" s="47" t="s">
        <v>8</v>
      </c>
      <c r="CV22" s="44">
        <f>SUM(CV9:CV21)</f>
        <v>3928600.8245810256</v>
      </c>
      <c r="CW22" s="44">
        <f>SUM(CW9:CW21)</f>
        <v>0</v>
      </c>
      <c r="CX22" s="87">
        <f>CR22-CW22</f>
        <v>0</v>
      </c>
      <c r="CY22" s="46">
        <f>(SUMIF(CZ9:CZ21,"&lt;1")+1)/(COUNTIFS(CZ9:CZ21,"&lt;1")+1)</f>
        <v>0.84102141704872013</v>
      </c>
      <c r="CZ22" s="47" t="s">
        <v>8</v>
      </c>
      <c r="DA22" s="47" t="s">
        <v>8</v>
      </c>
      <c r="DB22" s="44">
        <f>SUM(DB9:DB21)</f>
        <v>3928600.8245810256</v>
      </c>
      <c r="DC22" s="44">
        <f>SUM(DC9:DC21)</f>
        <v>0</v>
      </c>
      <c r="DD22" s="87">
        <f>CX22-DC22</f>
        <v>0</v>
      </c>
      <c r="DE22" s="46">
        <f>(SUMIF(DF9:DF21,"&lt;1")+1)/(COUNTIFS(DF9:DF21,"&lt;1")+1)</f>
        <v>0.84102141704872013</v>
      </c>
      <c r="DF22" s="47" t="s">
        <v>8</v>
      </c>
      <c r="DG22" s="47" t="s">
        <v>8</v>
      </c>
      <c r="DH22" s="44">
        <f>SUM(DH9:DH21)</f>
        <v>3928600.8245810256</v>
      </c>
      <c r="DI22" s="44">
        <f>SUM(DI9:DI21)</f>
        <v>0</v>
      </c>
      <c r="DJ22" s="87">
        <f>DD22-DI22</f>
        <v>0</v>
      </c>
      <c r="DK22" s="46">
        <f>(SUMIF(DL9:DL21,"&lt;1")+1)/(COUNTIFS(DL9:DL21,"&lt;1")+1)</f>
        <v>0.84102141704872013</v>
      </c>
      <c r="DL22" s="47" t="s">
        <v>8</v>
      </c>
      <c r="DM22" s="47" t="s">
        <v>8</v>
      </c>
      <c r="DN22" s="44">
        <f>SUM(DN9:DN21)</f>
        <v>3928600.8245810256</v>
      </c>
      <c r="DO22" s="44">
        <f>SUM(DO9:DO21)</f>
        <v>0</v>
      </c>
      <c r="DP22" s="87">
        <f>DJ22-DO22</f>
        <v>0</v>
      </c>
      <c r="DQ22" s="46">
        <f>(SUMIF(DR9:DR21,"&lt;1")+1)/(COUNTIFS(DR9:DR21,"&lt;1")+1)</f>
        <v>0.84102141704872013</v>
      </c>
      <c r="DR22" s="47" t="s">
        <v>8</v>
      </c>
      <c r="DS22" s="47" t="s">
        <v>8</v>
      </c>
      <c r="DT22" s="44">
        <f>SUM(DT9:DT21)</f>
        <v>3928600.8245810256</v>
      </c>
      <c r="DU22" s="44">
        <f>SUM(DU9:DU21)</f>
        <v>0</v>
      </c>
      <c r="DV22" s="87">
        <f>DP22-DU22</f>
        <v>0</v>
      </c>
      <c r="DW22" s="46">
        <f>(SUMIF(DX9:DX21,"&lt;1")+1)/(COUNTIFS(DX9:DX21,"&lt;1")+1)</f>
        <v>0.84102141704872013</v>
      </c>
      <c r="DX22" s="47" t="s">
        <v>8</v>
      </c>
      <c r="DY22" s="47" t="s">
        <v>8</v>
      </c>
      <c r="DZ22" s="153">
        <f>SUM(DZ9:DZ21)</f>
        <v>3928600.8245810256</v>
      </c>
      <c r="EA22" s="44">
        <f>SUM(EA9:EA21)</f>
        <v>0</v>
      </c>
      <c r="EB22" s="87">
        <f>DV22-EA22</f>
        <v>0</v>
      </c>
      <c r="EC22" s="46">
        <f>(SUMIF(ED9:ED21,"&lt;1")+1)/(COUNTIFS(ED9:ED21,"&lt;1")+1)</f>
        <v>0.84102141704872013</v>
      </c>
      <c r="ED22" s="47" t="s">
        <v>8</v>
      </c>
      <c r="EE22" s="47" t="s">
        <v>8</v>
      </c>
      <c r="EF22" s="153">
        <f>SUM(EF9:EF21)</f>
        <v>3928600.8245810256</v>
      </c>
      <c r="EG22" s="44">
        <f>SUM(EG9:EG21)</f>
        <v>0</v>
      </c>
      <c r="EH22" s="87">
        <f>EB22-EG22</f>
        <v>0</v>
      </c>
      <c r="EI22" s="46">
        <f>(SUMIF(EJ9:EJ21,"&lt;1")+1)/(COUNTIFS(EJ9:EJ21,"&lt;1")+1)</f>
        <v>0.84102141704872013</v>
      </c>
      <c r="EJ22" s="47" t="s">
        <v>8</v>
      </c>
      <c r="EK22" s="47" t="s">
        <v>8</v>
      </c>
      <c r="EL22" s="153">
        <f>SUM(EL9:EL21)</f>
        <v>3928600.8245810256</v>
      </c>
      <c r="EM22" s="44">
        <f>SUM(EM9:EM21)</f>
        <v>0</v>
      </c>
      <c r="EN22" s="87">
        <f>EH22-EM22</f>
        <v>0</v>
      </c>
      <c r="EO22" s="46">
        <f>(SUMIF(EP9:EP21,"&lt;1")+1)/(COUNTIFS(EP9:EP21,"&lt;1")+1)</f>
        <v>0.84102141704872013</v>
      </c>
      <c r="EP22" s="47" t="s">
        <v>8</v>
      </c>
      <c r="EQ22" s="47" t="s">
        <v>8</v>
      </c>
      <c r="ER22" s="153">
        <f>SUM(ER9:ER21)</f>
        <v>3928600.8245810256</v>
      </c>
      <c r="ES22" s="44">
        <f>SUM(ES9:ES21)</f>
        <v>0</v>
      </c>
      <c r="ET22" s="87">
        <f>EN22-ES22</f>
        <v>0</v>
      </c>
      <c r="EU22" s="46">
        <f>(SUMIF(EV9:EV21,"&lt;1")+1)/(COUNTIFS(EV9:EV21,"&lt;1")+1)</f>
        <v>0.84102141704872013</v>
      </c>
      <c r="EV22" s="47" t="s">
        <v>8</v>
      </c>
      <c r="EW22" s="47" t="s">
        <v>8</v>
      </c>
      <c r="EX22" s="153">
        <f>SUM(EX9:EX21)</f>
        <v>3928600.8245810256</v>
      </c>
      <c r="EY22" s="44">
        <f>SUM(EY9:EY21)</f>
        <v>0</v>
      </c>
      <c r="EZ22" s="87">
        <f>ET22-EY22</f>
        <v>0</v>
      </c>
      <c r="FA22" s="46">
        <f>(SUMIF(FB9:FB21,"&lt;1")+1)/(COUNTIFS(FB9:FB21,"&lt;1")+1)</f>
        <v>0.84102141704872013</v>
      </c>
      <c r="FB22" s="47" t="s">
        <v>8</v>
      </c>
      <c r="FC22" s="47" t="s">
        <v>8</v>
      </c>
      <c r="FD22" s="153">
        <f>SUM(FD9:FD21)</f>
        <v>3928600.8245810256</v>
      </c>
      <c r="FE22" s="44">
        <f>SUM(FE9:FE21)</f>
        <v>0</v>
      </c>
      <c r="FF22" s="87">
        <f>EZ22-FE22</f>
        <v>0</v>
      </c>
      <c r="FG22" s="46">
        <f>(SUMIF(FH9:FH21,"&lt;1")+1)/(COUNTIFS(FH9:FH21,"&lt;1")+1)</f>
        <v>0.84102141704872013</v>
      </c>
      <c r="FH22" s="47" t="s">
        <v>8</v>
      </c>
      <c r="FI22" s="47" t="s">
        <v>8</v>
      </c>
      <c r="FJ22" s="153">
        <f>SUM(FJ9:FJ21)</f>
        <v>3928600.8245810256</v>
      </c>
      <c r="FK22" s="44">
        <f>SUM(FK9:FK21)</f>
        <v>0</v>
      </c>
      <c r="FL22" s="87">
        <f>FF22-FK22</f>
        <v>0</v>
      </c>
      <c r="FM22" s="46">
        <f>(SUMIF(FN9:FN21,"&lt;1")+1)/(COUNTIFS(FN9:FN21,"&lt;1")+1)</f>
        <v>0.84102141704872013</v>
      </c>
      <c r="FN22" s="47" t="s">
        <v>8</v>
      </c>
      <c r="FO22" s="47" t="s">
        <v>8</v>
      </c>
      <c r="FP22" s="153">
        <f>SUM(FP9:FP21)</f>
        <v>3928600.8245810256</v>
      </c>
      <c r="FQ22" s="44">
        <f>SUM(FQ9:FQ21)</f>
        <v>0</v>
      </c>
      <c r="FR22" s="87">
        <f>FL22-FQ22</f>
        <v>0</v>
      </c>
      <c r="FS22" s="46">
        <f>(SUMIF(FT9:FT21,"&lt;1")+1)/(COUNTIFS(FT9:FT21,"&lt;1")+1)</f>
        <v>0.84102141704872013</v>
      </c>
      <c r="FT22" s="47" t="s">
        <v>8</v>
      </c>
      <c r="FU22" s="47" t="s">
        <v>8</v>
      </c>
      <c r="FV22" s="153">
        <f>SUM(FV9:FV21)</f>
        <v>3928600.8245810256</v>
      </c>
      <c r="FW22" s="44">
        <f>SUM(FW9:FW21)</f>
        <v>0</v>
      </c>
      <c r="FX22" s="87">
        <f>FR22-FW22</f>
        <v>0</v>
      </c>
      <c r="FY22" s="46">
        <f>(SUMIF(FZ9:FZ21,"&lt;1")+1)/(COUNTIFS(FZ9:FZ21,"&lt;1")+1)</f>
        <v>0.84102141704872013</v>
      </c>
      <c r="FZ22" s="47" t="s">
        <v>8</v>
      </c>
      <c r="GA22" s="47" t="s">
        <v>8</v>
      </c>
      <c r="GB22" s="153">
        <f>SUM(GB9:GB21)</f>
        <v>3928600.8245810256</v>
      </c>
      <c r="GC22" s="44">
        <f>SUM(GC9:GC21)</f>
        <v>0</v>
      </c>
      <c r="GD22" s="87">
        <f>FX22-GC22</f>
        <v>0</v>
      </c>
      <c r="GE22" s="46">
        <f>(SUMIF(GF9:GF21,"&lt;1")+1)/(COUNTIFS(GF9:GF21,"&lt;1")+1)</f>
        <v>0.84102141704872013</v>
      </c>
      <c r="GF22" s="47" t="s">
        <v>8</v>
      </c>
      <c r="GG22" s="219" t="s">
        <v>8</v>
      </c>
      <c r="GH22" s="222">
        <f>SUM(GH9:GH21)</f>
        <v>3928600.8245810256</v>
      </c>
      <c r="GI22" s="220">
        <f>SUM(GI9:GI21)</f>
        <v>0</v>
      </c>
      <c r="GJ22" s="224">
        <f>SUM(GJ9:GJ21)</f>
        <v>7896410.7800000003</v>
      </c>
      <c r="GK22" s="181">
        <f t="shared" si="146"/>
        <v>16800874</v>
      </c>
      <c r="GL22" s="182" t="s">
        <v>8</v>
      </c>
      <c r="GM22" s="25"/>
      <c r="GN22" s="215">
        <f>GN9+GN10+GN11+GN12+GN13+GN14+GN15+GN16+GN17+GN18+GN19+GN20+GN21</f>
        <v>16800873.999999996</v>
      </c>
    </row>
    <row r="24" spans="1:196" x14ac:dyDescent="0.2">
      <c r="P24" s="24"/>
    </row>
    <row r="26" spans="1:196" x14ac:dyDescent="0.2">
      <c r="GJ26" s="133"/>
      <c r="GK26" s="133"/>
    </row>
    <row r="27" spans="1:196" x14ac:dyDescent="0.2">
      <c r="M27" s="23"/>
    </row>
  </sheetData>
  <protectedRanges>
    <protectedRange sqref="A9:A21" name="Диапазон3_1"/>
    <protectedRange sqref="A9:A21" name="Диапазон2_1"/>
  </protectedRanges>
  <mergeCells count="49">
    <mergeCell ref="R4:W4"/>
    <mergeCell ref="GN3:GN5"/>
    <mergeCell ref="EH4:EM4"/>
    <mergeCell ref="CR4:CW4"/>
    <mergeCell ref="FX4:GC4"/>
    <mergeCell ref="GD4:GI4"/>
    <mergeCell ref="FF4:FK4"/>
    <mergeCell ref="FL4:FQ4"/>
    <mergeCell ref="FR4:FW4"/>
    <mergeCell ref="GK3:GK5"/>
    <mergeCell ref="GL3:GL5"/>
    <mergeCell ref="GJ3:GJ5"/>
    <mergeCell ref="CX4:DC4"/>
    <mergeCell ref="EZ4:FE4"/>
    <mergeCell ref="DD4:DI4"/>
    <mergeCell ref="AJ4:AO4"/>
    <mergeCell ref="BH4:BM4"/>
    <mergeCell ref="X4:AC4"/>
    <mergeCell ref="AD4:AI4"/>
    <mergeCell ref="AP4:AU4"/>
    <mergeCell ref="BB4:BG4"/>
    <mergeCell ref="AV4:BA4"/>
    <mergeCell ref="EN4:ES4"/>
    <mergeCell ref="ET4:EY4"/>
    <mergeCell ref="BN4:BS4"/>
    <mergeCell ref="BT4:BY4"/>
    <mergeCell ref="BZ4:CE4"/>
    <mergeCell ref="CF4:CK4"/>
    <mergeCell ref="CL4:CQ4"/>
    <mergeCell ref="DJ4:DO4"/>
    <mergeCell ref="DP4:DU4"/>
    <mergeCell ref="DV4:EA4"/>
    <mergeCell ref="EB4:EG4"/>
    <mergeCell ref="L4:L5"/>
    <mergeCell ref="M4:Q4"/>
    <mergeCell ref="A3:A6"/>
    <mergeCell ref="B3:B5"/>
    <mergeCell ref="C3:F3"/>
    <mergeCell ref="G3:J3"/>
    <mergeCell ref="K3:K5"/>
    <mergeCell ref="J4:J5"/>
    <mergeCell ref="C4:D4"/>
    <mergeCell ref="E4:F4"/>
    <mergeCell ref="G4:G5"/>
    <mergeCell ref="H4:H5"/>
    <mergeCell ref="I4:I5"/>
    <mergeCell ref="C5:D5"/>
    <mergeCell ref="E5:F5"/>
    <mergeCell ref="M3:BS3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Исходные данные 25 г.</vt:lpstr>
      <vt:lpstr>Расчет КРП</vt:lpstr>
      <vt:lpstr>Расчет дотации 2025</vt:lpstr>
      <vt:lpstr>Исходные данные 2026 г. </vt:lpstr>
      <vt:lpstr>Расчет дотации 2026</vt:lpstr>
      <vt:lpstr>Исходные данные 2027г. </vt:lpstr>
      <vt:lpstr>Расчет дотации 2027</vt:lpstr>
      <vt:lpstr>'Исходные данные 2026 г. '!Excel_BuiltIn_Print_Titles</vt:lpstr>
      <vt:lpstr>'Исходные данные 2027г. '!Excel_BuiltIn_Print_Titles</vt:lpstr>
      <vt:lpstr>'Исходные данные 25 г.'!Excel_BuiltIn_Print_Titles</vt:lpstr>
      <vt:lpstr>'Исходные данные 2026 г. '!Z_287B6B75_F102_4A35_99B4_72102AA4A344__wvu_FilterData</vt:lpstr>
      <vt:lpstr>'Исходные данные 2027г. '!Z_287B6B75_F102_4A35_99B4_72102AA4A344__wvu_FilterData</vt:lpstr>
      <vt:lpstr>'Исходные данные 25 г.'!Z_287B6B75_F102_4A35_99B4_72102AA4A344__wvu_FilterData</vt:lpstr>
      <vt:lpstr>'Исходные данные 2026 г. '!Z_287B6B75_F102_4A35_99B4_72102AA4A344__wvu_PrintArea</vt:lpstr>
      <vt:lpstr>'Исходные данные 2027г. '!Z_287B6B75_F102_4A35_99B4_72102AA4A344__wvu_PrintArea</vt:lpstr>
      <vt:lpstr>'Исходные данные 25 г.'!Z_287B6B75_F102_4A35_99B4_72102AA4A344__wvu_PrintArea</vt:lpstr>
      <vt:lpstr>'Исходные данные 2026 г. '!Z_287B6B75_F102_4A35_99B4_72102AA4A344__wvu_PrintTitles</vt:lpstr>
      <vt:lpstr>'Исходные данные 2027г. '!Z_287B6B75_F102_4A35_99B4_72102AA4A344__wvu_PrintTitles</vt:lpstr>
      <vt:lpstr>'Исходные данные 25 г.'!Z_287B6B75_F102_4A35_99B4_72102AA4A344__wvu_PrintTitles</vt:lpstr>
      <vt:lpstr>'Расчет дотации 2025'!Z_287B6B75_F102_4A35_99B4_72102AA4A344__wvu_PrintTitles</vt:lpstr>
      <vt:lpstr>'Расчет дотации 2026'!Z_287B6B75_F102_4A35_99B4_72102AA4A344__wvu_PrintTitles</vt:lpstr>
      <vt:lpstr>'Расчет дотации 2027'!Z_287B6B75_F102_4A35_99B4_72102AA4A344__wvu_PrintTitles</vt:lpstr>
      <vt:lpstr>'Исходные данные 2026 г. '!Заголовки_для_печати</vt:lpstr>
      <vt:lpstr>'Исходные данные 2027г. '!Заголовки_для_печати</vt:lpstr>
      <vt:lpstr>'Исходные данные 25 г.'!Заголовки_для_печати</vt:lpstr>
      <vt:lpstr>'Расчет дотации 2025'!Заголовки_для_печати</vt:lpstr>
      <vt:lpstr>'Расчет дотации 2026'!Заголовки_для_печати</vt:lpstr>
      <vt:lpstr>'Расчет дотации 2027'!Заголовки_для_печати</vt:lpstr>
      <vt:lpstr>'Исходные данные 2026 г. '!Область_печати</vt:lpstr>
      <vt:lpstr>'Исходные данные 2027г. '!Область_печати</vt:lpstr>
      <vt:lpstr>'Исходные данные 25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User223</cp:lastModifiedBy>
  <cp:lastPrinted>2024-11-12T10:31:48Z</cp:lastPrinted>
  <dcterms:created xsi:type="dcterms:W3CDTF">2013-11-15T09:40:24Z</dcterms:created>
  <dcterms:modified xsi:type="dcterms:W3CDTF">2024-11-26T06:48:22Z</dcterms:modified>
</cp:coreProperties>
</file>